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workbookProtection workbookPassword="C7BC" lockStructure="1"/>
  <bookViews>
    <workbookView xWindow="0" yWindow="0" windowWidth="21840" windowHeight="9360" activeTab="1"/>
  </bookViews>
  <sheets>
    <sheet name="Introduction" sheetId="4" r:id="rId1"/>
    <sheet name="Metric" sheetId="2" r:id="rId2"/>
    <sheet name="English" sheetId="8" r:id="rId3"/>
    <sheet name="Propellants" sheetId="6" r:id="rId4"/>
    <sheet name="Motor class" sheetId="7" r:id="rId5"/>
    <sheet name="Revisions" sheetId="1" r:id="rId6"/>
    <sheet name="calc" sheetId="5" state="hidden" r:id="rId7"/>
  </sheets>
  <definedNames>
    <definedName name="a" localSheetId="2">English!#REF!</definedName>
    <definedName name="a">Metric!#REF!</definedName>
    <definedName name="alpha">calc!$I$6</definedName>
    <definedName name="beta">calc!$I$7</definedName>
    <definedName name="bna">calc!$I$21</definedName>
    <definedName name="bnae">calc!$L$21</definedName>
    <definedName name="bnb">calc!$I$22</definedName>
    <definedName name="bnbe">calc!$L$22</definedName>
    <definedName name="bnc">calc!$I$23</definedName>
    <definedName name="bnce">calc!$L$23</definedName>
    <definedName name="bnd">calc!$I$24</definedName>
    <definedName name="bnde">calc!$L$24</definedName>
    <definedName name="bne">calc!$I$25</definedName>
    <definedName name="bnee">calc!$L$25</definedName>
    <definedName name="cd" localSheetId="2">English!$E$10</definedName>
    <definedName name="cd">Metric!$E$10</definedName>
    <definedName name="cde">English!$E$10</definedName>
    <definedName name="classtab">'Motor class'!$C$6:$F$22</definedName>
    <definedName name="classtabe">'Motor class'!$H$6:$K$22</definedName>
    <definedName name="coefa" localSheetId="2">calc!#REF!</definedName>
    <definedName name="coefa">calc!#REF!</definedName>
    <definedName name="coefb" localSheetId="2">calc!#REF!</definedName>
    <definedName name="coefb">calc!#REF!</definedName>
    <definedName name="coefc" localSheetId="2">calc!#REF!</definedName>
    <definedName name="coefc">calc!#REF!</definedName>
    <definedName name="cona" localSheetId="2">calc!#REF!</definedName>
    <definedName name="cona">calc!#REF!</definedName>
    <definedName name="conb" localSheetId="2">calc!#REF!</definedName>
    <definedName name="conb">calc!#REF!</definedName>
    <definedName name="d" localSheetId="2">English!$E$8</definedName>
    <definedName name="d">Metric!$E$8</definedName>
    <definedName name="de">English!$E$8</definedName>
    <definedName name="dia">calc!$I$14</definedName>
    <definedName name="f" localSheetId="2">English!$E$7</definedName>
    <definedName name="f">Metric!$E$7</definedName>
    <definedName name="g">calc!$I$11</definedName>
    <definedName name="ge">calc!$L$24</definedName>
    <definedName name="group_a">calc!$C$6:$C$21</definedName>
    <definedName name="group_b">calc!$D$6:$D$16</definedName>
    <definedName name="group_c">calc!$E$6:$E$14</definedName>
    <definedName name="group_d">calc!$F$6:$F$11</definedName>
    <definedName name="isp" localSheetId="2">English!$E$22</definedName>
    <definedName name="isp">Metric!$E$22</definedName>
    <definedName name="ispe">English!$E$22</definedName>
    <definedName name="it" localSheetId="2">English!$E$8</definedName>
    <definedName name="it">Metric!$E$8</definedName>
    <definedName name="k" localSheetId="2">calc!#REF!</definedName>
    <definedName name="k">calc!#REF!</definedName>
    <definedName name="m" localSheetId="2">English!#REF!</definedName>
    <definedName name="m">Metric!#REF!</definedName>
    <definedName name="massd" localSheetId="2">English!$E$9</definedName>
    <definedName name="massd">Metric!$E$9</definedName>
    <definedName name="massde">English!$E$9</definedName>
    <definedName name="mp" localSheetId="2">English!$E$9</definedName>
    <definedName name="mp">Metric!$E$9</definedName>
    <definedName name="mr" localSheetId="2">English!$E$10</definedName>
    <definedName name="mr">Metric!$E$10</definedName>
    <definedName name="mra" localSheetId="2">English!#REF!</definedName>
    <definedName name="mra">Metric!#REF!</definedName>
    <definedName name="propellant">Propellants!$C$8:$C$14</definedName>
    <definedName name="tthrust">calc!$I$15</definedName>
    <definedName name="zed2" localSheetId="2">English!$E$4</definedName>
    <definedName name="zed2">Metric!$E$4</definedName>
    <definedName name="zed2e">English!$E$4</definedName>
  </definedNames>
  <calcPr calcId="145621"/>
</workbook>
</file>

<file path=xl/calcChain.xml><?xml version="1.0" encoding="utf-8"?>
<calcChain xmlns="http://schemas.openxmlformats.org/spreadsheetml/2006/main">
  <c r="J22" i="7" l="1"/>
  <c r="J21" i="7"/>
  <c r="J20" i="7"/>
  <c r="J19" i="7"/>
  <c r="J18" i="7"/>
  <c r="J17" i="7"/>
  <c r="J16" i="7"/>
  <c r="J15" i="7"/>
  <c r="J14" i="7"/>
  <c r="J13" i="7"/>
  <c r="J12" i="7"/>
  <c r="J11" i="7"/>
  <c r="J10" i="7"/>
  <c r="J9" i="7"/>
  <c r="J8" i="7"/>
  <c r="J7" i="7"/>
  <c r="J6" i="7"/>
  <c r="H22" i="7"/>
  <c r="H21" i="7"/>
  <c r="H20" i="7"/>
  <c r="H19" i="7"/>
  <c r="H18" i="7"/>
  <c r="H17" i="7"/>
  <c r="H16" i="7"/>
  <c r="H15" i="7"/>
  <c r="H14" i="7"/>
  <c r="H13" i="7"/>
  <c r="H12" i="7"/>
  <c r="H11" i="7"/>
  <c r="H10" i="7"/>
  <c r="H9" i="7"/>
  <c r="H8" i="7"/>
  <c r="H7" i="7"/>
  <c r="H6" i="7"/>
  <c r="L10" i="5"/>
  <c r="L21" i="5"/>
  <c r="L17" i="5"/>
  <c r="L15" i="5"/>
  <c r="L23" i="5"/>
  <c r="L14" i="5"/>
  <c r="L12" i="5"/>
  <c r="E21" i="8"/>
  <c r="E25" i="8"/>
  <c r="L18" i="5"/>
  <c r="E22" i="8"/>
  <c r="I15" i="5"/>
  <c r="I23" i="5"/>
  <c r="I12" i="5"/>
  <c r="I13" i="5"/>
  <c r="I25" i="5"/>
  <c r="I17" i="5"/>
  <c r="E25" i="2"/>
  <c r="I18" i="5"/>
  <c r="I16" i="5"/>
  <c r="I24" i="5"/>
  <c r="I21" i="5"/>
  <c r="I14" i="5"/>
  <c r="E22" i="2"/>
  <c r="E13" i="6"/>
  <c r="E12" i="6"/>
  <c r="E11" i="6"/>
  <c r="E10" i="6"/>
  <c r="E9" i="6"/>
  <c r="E8" i="6"/>
  <c r="D13" i="6"/>
  <c r="D12" i="6"/>
  <c r="D11" i="6"/>
  <c r="D10" i="6"/>
  <c r="D9" i="6"/>
  <c r="D8" i="6"/>
  <c r="E21" i="2"/>
  <c r="L16" i="5"/>
  <c r="L13" i="5"/>
  <c r="L25" i="5"/>
  <c r="L24" i="5"/>
  <c r="L22" i="5"/>
  <c r="L28" i="5"/>
  <c r="L30" i="5"/>
  <c r="I22" i="5"/>
  <c r="L29" i="5"/>
  <c r="L31" i="5"/>
  <c r="L33" i="5"/>
  <c r="E31" i="8"/>
  <c r="E32" i="8"/>
  <c r="E33" i="8"/>
  <c r="L35" i="5"/>
  <c r="E27" i="8"/>
  <c r="L34" i="5"/>
  <c r="L36" i="5"/>
  <c r="E26" i="8"/>
  <c r="E28" i="8"/>
  <c r="E36" i="8"/>
  <c r="L37" i="5"/>
  <c r="E38" i="8"/>
  <c r="L38" i="5"/>
  <c r="L39" i="5"/>
  <c r="L40" i="5"/>
  <c r="L42" i="5"/>
  <c r="L43" i="5"/>
  <c r="E37" i="8"/>
  <c r="C39" i="8"/>
  <c r="I29" i="5"/>
  <c r="I28" i="5"/>
  <c r="I30" i="5"/>
  <c r="I31" i="5"/>
  <c r="E31" i="2"/>
  <c r="E32" i="2"/>
  <c r="E33" i="2"/>
  <c r="I33" i="5"/>
  <c r="I36" i="5"/>
  <c r="E26" i="2"/>
  <c r="E28" i="2"/>
  <c r="E36" i="2"/>
  <c r="I10" i="5"/>
  <c r="I34" i="5"/>
  <c r="I35" i="5"/>
  <c r="E27" i="2"/>
  <c r="I37" i="5"/>
  <c r="E38" i="2"/>
  <c r="I38" i="5"/>
  <c r="E37" i="2"/>
  <c r="C39" i="2"/>
  <c r="I39" i="5"/>
  <c r="I40" i="5"/>
  <c r="I42" i="5"/>
  <c r="I43" i="5"/>
</calcChain>
</file>

<file path=xl/sharedStrings.xml><?xml version="1.0" encoding="utf-8"?>
<sst xmlns="http://schemas.openxmlformats.org/spreadsheetml/2006/main" count="354" uniqueCount="197">
  <si>
    <t>Written by:</t>
  </si>
  <si>
    <t>Version:</t>
  </si>
  <si>
    <t>Date:</t>
  </si>
  <si>
    <t>For free distribution</t>
  </si>
  <si>
    <t>EzRocket.xls</t>
  </si>
  <si>
    <t>September, 2014</t>
  </si>
  <si>
    <t>Richard A.Nakka</t>
  </si>
  <si>
    <t>Design aid for hobby rockets.</t>
  </si>
  <si>
    <t>kg.</t>
  </si>
  <si>
    <t>a =</t>
  </si>
  <si>
    <t>metres</t>
  </si>
  <si>
    <t>mm</t>
  </si>
  <si>
    <t>Chamber diameter:</t>
  </si>
  <si>
    <t>Propellant loading :</t>
  </si>
  <si>
    <t>Propellant density :</t>
  </si>
  <si>
    <t>gram/cubic centimetre</t>
  </si>
  <si>
    <t>Thrust time :</t>
  </si>
  <si>
    <t>seconds</t>
  </si>
  <si>
    <t>Propellant specific impulse :</t>
  </si>
  <si>
    <t>A</t>
  </si>
  <si>
    <t>B</t>
  </si>
  <si>
    <t>C</t>
  </si>
  <si>
    <t>Type</t>
  </si>
  <si>
    <t>Density</t>
  </si>
  <si>
    <t>Propellant type :</t>
  </si>
  <si>
    <t>Specific Impulse</t>
  </si>
  <si>
    <t>[1]</t>
  </si>
  <si>
    <t>[2]</t>
  </si>
  <si>
    <t>KNSB</t>
  </si>
  <si>
    <t>KNDX</t>
  </si>
  <si>
    <t>KNSU</t>
  </si>
  <si>
    <t>RNX-57</t>
  </si>
  <si>
    <t>RNX-73V</t>
  </si>
  <si>
    <t>Other</t>
  </si>
  <si>
    <t>Notes:</t>
  </si>
  <si>
    <t>Chamber volume :</t>
  </si>
  <si>
    <t>Chamber diameter :</t>
  </si>
  <si>
    <t>Chamber length :</t>
  </si>
  <si>
    <t>cc</t>
  </si>
  <si>
    <t>Propellant mass :</t>
  </si>
  <si>
    <t>KNER</t>
  </si>
  <si>
    <t>Rocket liftoff mass :</t>
  </si>
  <si>
    <t>c =</t>
  </si>
  <si>
    <t>d =</t>
  </si>
  <si>
    <t>alpha =</t>
  </si>
  <si>
    <t>beta =</t>
  </si>
  <si>
    <t>drag factor coefficients</t>
  </si>
  <si>
    <t>quadratic coefficients</t>
  </si>
  <si>
    <t>b =</t>
  </si>
  <si>
    <t>Drop-down list values</t>
  </si>
  <si>
    <t>parameters</t>
  </si>
  <si>
    <t>m =</t>
  </si>
  <si>
    <t xml:space="preserve">g = </t>
  </si>
  <si>
    <t>k =</t>
  </si>
  <si>
    <t>t =</t>
  </si>
  <si>
    <t>Average thrust:</t>
  </si>
  <si>
    <t>N.</t>
  </si>
  <si>
    <t>Total Impulse:</t>
  </si>
  <si>
    <t>N-sec.</t>
  </si>
  <si>
    <t>sec.</t>
  </si>
  <si>
    <t>Class:</t>
  </si>
  <si>
    <t>Motor Classification</t>
  </si>
  <si>
    <t>Class</t>
  </si>
  <si>
    <t>Total Impulse</t>
  </si>
  <si>
    <t>-</t>
  </si>
  <si>
    <t>D</t>
  </si>
  <si>
    <t>E</t>
  </si>
  <si>
    <t>F</t>
  </si>
  <si>
    <t>G</t>
  </si>
  <si>
    <t>H</t>
  </si>
  <si>
    <t>I</t>
  </si>
  <si>
    <t>J</t>
  </si>
  <si>
    <t>K</t>
  </si>
  <si>
    <t>L</t>
  </si>
  <si>
    <t>M</t>
  </si>
  <si>
    <t>N</t>
  </si>
  <si>
    <t>O</t>
  </si>
  <si>
    <t>P</t>
  </si>
  <si>
    <t>Q</t>
  </si>
  <si>
    <t>(Newton-seconds)</t>
  </si>
  <si>
    <t>grams/cc</t>
  </si>
  <si>
    <t>lbs/cu.in.</t>
  </si>
  <si>
    <t>Assumes 95% theoretical maximum density</t>
  </si>
  <si>
    <t>Typical</t>
  </si>
  <si>
    <t>PROPELLANT SELECTION</t>
  </si>
  <si>
    <t>&lt;= ENTRIES MAY BE EDITED</t>
  </si>
  <si>
    <t>=&gt;</t>
  </si>
  <si>
    <t>ALTITUDE GOAL</t>
  </si>
  <si>
    <t>e =</t>
  </si>
  <si>
    <t>C1 =</t>
  </si>
  <si>
    <t>C2 =</t>
  </si>
  <si>
    <t>C3 =</t>
  </si>
  <si>
    <t>F =</t>
  </si>
  <si>
    <t>fz =</t>
  </si>
  <si>
    <t>N =</t>
  </si>
  <si>
    <t>Z1 =</t>
  </si>
  <si>
    <t>V1 =</t>
  </si>
  <si>
    <t>mp =</t>
  </si>
  <si>
    <t>Vp =</t>
  </si>
  <si>
    <t>Lm =</t>
  </si>
  <si>
    <t>Dm =</t>
  </si>
  <si>
    <t>fm =</t>
  </si>
  <si>
    <t>rhop =</t>
  </si>
  <si>
    <t>Maximum velocity:</t>
  </si>
  <si>
    <t>Burnout altitude:</t>
  </si>
  <si>
    <t>Body diameter:</t>
  </si>
  <si>
    <t>Empty mass:</t>
  </si>
  <si>
    <t>Drag coefficient:</t>
  </si>
  <si>
    <t>default</t>
  </si>
  <si>
    <t>metres/sec. (at burnout)</t>
  </si>
  <si>
    <r>
      <t>%, percent of body diameter</t>
    </r>
    <r>
      <rPr>
        <i/>
        <sz val="11"/>
        <color indexed="8"/>
        <rFont val="Calibri"/>
        <family val="2"/>
      </rPr>
      <t xml:space="preserve"> (default = 75% )</t>
    </r>
  </si>
  <si>
    <t>MOTOR SIZING DATA</t>
  </si>
  <si>
    <t>MOTOR PARAMETERS</t>
  </si>
  <si>
    <t>MOTOR PERFORMANCE</t>
  </si>
  <si>
    <t>default = 0.4</t>
  </si>
  <si>
    <t>Cd =</t>
  </si>
  <si>
    <t>Instructions: Enter data in yellow cells; select from drop-down lists in amber cells.</t>
  </si>
  <si>
    <t>For initial design purposes, motor size is estimated based on percentage of body diameter,</t>
  </si>
  <si>
    <t>and on propellant loading percentage.</t>
  </si>
  <si>
    <t>coefficients for BN eqn.</t>
  </si>
  <si>
    <t>check</t>
  </si>
  <si>
    <t>delta F =</t>
  </si>
  <si>
    <t xml:space="preserve">D </t>
  </si>
  <si>
    <t>default = 1 second</t>
  </si>
  <si>
    <r>
      <rPr>
        <sz val="9"/>
        <color indexed="63"/>
        <rFont val="Symbol"/>
        <family val="1"/>
        <charset val="2"/>
      </rPr>
      <t>B</t>
    </r>
    <r>
      <rPr>
        <sz val="9"/>
        <color indexed="63"/>
        <rFont val="Arial"/>
        <family val="2"/>
      </rPr>
      <t>eta</t>
    </r>
  </si>
  <si>
    <t>feet</t>
  </si>
  <si>
    <t>inches</t>
  </si>
  <si>
    <t>lbs.</t>
  </si>
  <si>
    <t>lbs/cubic inch</t>
  </si>
  <si>
    <t>cubic inches</t>
  </si>
  <si>
    <t>lb-sec.</t>
  </si>
  <si>
    <t xml:space="preserve">feet </t>
  </si>
  <si>
    <t>feet/sec.</t>
  </si>
  <si>
    <t>Metric</t>
  </si>
  <si>
    <t>English</t>
  </si>
  <si>
    <t>Isp =</t>
  </si>
  <si>
    <t>lb-sec/slug</t>
  </si>
  <si>
    <t>slug</t>
  </si>
  <si>
    <t>slug/cu.ft.</t>
  </si>
  <si>
    <t>cu.in.</t>
  </si>
  <si>
    <t>in.</t>
  </si>
  <si>
    <r>
      <t xml:space="preserve">%, percent of chamber volume </t>
    </r>
    <r>
      <rPr>
        <i/>
        <sz val="11"/>
        <color indexed="8"/>
        <rFont val="Calibri"/>
        <family val="2"/>
      </rPr>
      <t>(default = 75% )</t>
    </r>
  </si>
  <si>
    <t>Altitude goal</t>
  </si>
  <si>
    <t>Empty mass</t>
  </si>
  <si>
    <t>The peak altitude, above ground level,  that the rocket is expected to achieve.</t>
  </si>
  <si>
    <t>The outside diameter of the rocket body. If the rocket has a varying diameter, then this will be the MAXIMUM diameter.</t>
  </si>
  <si>
    <t>The total mass (or weight) of the rocket, less propellant mass. This includes the empty motor mass.</t>
  </si>
  <si>
    <t>The coefficient of drag (Cd) of the assembled rocket. This value is assumed constant, which is reasonable for subsonic flight regime.</t>
  </si>
  <si>
    <t>The inside diameter of the rocket motor (chamber). To simplify the design process, this is specified as a percentage of the Body Diameter. The default value is 75%.</t>
  </si>
  <si>
    <t>Body Diameter</t>
  </si>
  <si>
    <t>Drag Coefficient</t>
  </si>
  <si>
    <t>Chamber Diameter</t>
  </si>
  <si>
    <t>Propellant Loading</t>
  </si>
  <si>
    <t>Thrust Time</t>
  </si>
  <si>
    <t>The percentage of motor chamber volume initially occupied by propellant. The default value is 75%.</t>
  </si>
  <si>
    <t>The effective time (t) that the motor generates the average thrust. Thrust time, average thrust (F) and total impulse (I) are related by the formula I = F t. Although the thrust time is not generally known at initial stage of design, thrust time is required input and a best-guess value can be used. Motor size (total impulse) has low dependency on this parameter, and as such, does not affect results signficantly. The default value is 1 second.</t>
  </si>
  <si>
    <t>INPUT:</t>
  </si>
  <si>
    <t>OUTPUT:</t>
  </si>
  <si>
    <t>The inside diameter of the rocket motor (chamber).</t>
  </si>
  <si>
    <t>Chamber Length</t>
  </si>
  <si>
    <t>The required length of the rocket motor chamber.</t>
  </si>
  <si>
    <t>Chamber Volume</t>
  </si>
  <si>
    <t>The total volume in the chamber available for propellant.</t>
  </si>
  <si>
    <t>Propellant Mass</t>
  </si>
  <si>
    <t>The required total mass of propellant.</t>
  </si>
  <si>
    <t>Average Thrust</t>
  </si>
  <si>
    <t>The average thrust of the required motor.</t>
  </si>
  <si>
    <t>Motor total impulse required to achieve the altitude goal, for the given thrust time.</t>
  </si>
  <si>
    <t>The letter-designated range for the required rocket motor.</t>
  </si>
  <si>
    <t>Rocket liftoff Mass</t>
  </si>
  <si>
    <t>The total mass of the rocket at liftoff, including motor and propellant.</t>
  </si>
  <si>
    <t>Maximum Velocity</t>
  </si>
  <si>
    <t>The maximum velocity, which occurs at motor burnout, that the rocket will achieve.</t>
  </si>
  <si>
    <t>Burnout Altitude</t>
  </si>
  <si>
    <t>The altitude that the rocket reaches at motor burnout, which is assumed to coincide with zero average thrust.</t>
  </si>
  <si>
    <t>Introduction</t>
  </si>
  <si>
    <t>The user inputs various parameters that describe the proposed rocket vehicle, as well as basic motor sizing parameters. To facilitate the design process, the user may choose default values for certain parameters, which represent typical values suitable for initial design.</t>
  </si>
  <si>
    <t>www.nakka-rocketry.net</t>
  </si>
  <si>
    <t>Author may be contacted at:</t>
  </si>
  <si>
    <t>richard.rocketry@gmail.com</t>
  </si>
  <si>
    <r>
      <t xml:space="preserve">This Excel spreadsheet is intended as an easy-to-use design aid for hobby rocketry. Unlike most rocket simulation programs, which predict peak altitude for a given rocket and motor combination, this progam instead considers peak altitude as a </t>
    </r>
    <r>
      <rPr>
        <b/>
        <sz val="12"/>
        <color indexed="8"/>
        <rFont val="Calibri"/>
        <family val="2"/>
      </rPr>
      <t>design</t>
    </r>
    <r>
      <rPr>
        <sz val="12"/>
        <color indexed="8"/>
        <rFont val="Calibri"/>
        <family val="2"/>
      </rPr>
      <t xml:space="preserve"> </t>
    </r>
    <r>
      <rPr>
        <b/>
        <sz val="12"/>
        <color indexed="8"/>
        <rFont val="Calibri"/>
        <family val="2"/>
      </rPr>
      <t>goal</t>
    </r>
    <r>
      <rPr>
        <sz val="12"/>
        <color indexed="8"/>
        <rFont val="Calibri"/>
        <family val="2"/>
      </rPr>
      <t>.  Based on this goal, the program computes what size motor is required to reach this peak altitude.</t>
    </r>
  </si>
  <si>
    <t>The two tables below describe the required input parameters, and the output provided by this program.</t>
  </si>
  <si>
    <t>(Pound-seconds)</t>
  </si>
  <si>
    <t>Record of Revisions</t>
  </si>
  <si>
    <t>Version</t>
  </si>
  <si>
    <t>Date</t>
  </si>
  <si>
    <t>Worksheet</t>
  </si>
  <si>
    <t>Changes</t>
  </si>
  <si>
    <t>All</t>
  </si>
  <si>
    <t>Initial release</t>
  </si>
  <si>
    <t>Beta</t>
  </si>
  <si>
    <t>Sept. 2014</t>
  </si>
  <si>
    <r>
      <t xml:space="preserve">For versatility, the user may choose </t>
    </r>
    <r>
      <rPr>
        <b/>
        <sz val="12"/>
        <color indexed="60"/>
        <rFont val="Arial"/>
        <family val="2"/>
      </rPr>
      <t>English</t>
    </r>
    <r>
      <rPr>
        <sz val="12"/>
        <color indexed="8"/>
        <rFont val="Calibri"/>
        <family val="2"/>
      </rPr>
      <t xml:space="preserve"> or </t>
    </r>
    <r>
      <rPr>
        <b/>
        <sz val="12"/>
        <color indexed="60"/>
        <rFont val="Arial"/>
        <family val="2"/>
      </rPr>
      <t>Metric</t>
    </r>
    <r>
      <rPr>
        <sz val="12"/>
        <color indexed="8"/>
        <rFont val="Calibri"/>
        <family val="2"/>
      </rPr>
      <t xml:space="preserve"> units of measure.</t>
    </r>
  </si>
  <si>
    <r>
      <t xml:space="preserve">Note that this software is intended for designing  "typical" hobby rockets, and as such, the results may not be valid for non-typical rocket designs. As well, the program is valid for rockets that operate within the </t>
    </r>
    <r>
      <rPr>
        <b/>
        <sz val="12"/>
        <color indexed="8"/>
        <rFont val="Calibri"/>
        <family val="2"/>
      </rPr>
      <t>subsonic fight regime</t>
    </r>
    <r>
      <rPr>
        <sz val="12"/>
        <color indexed="8"/>
        <rFont val="Calibri"/>
        <family val="2"/>
      </rPr>
      <t>. If the predicted maximum velocity is greater than the speed of sound, a warning message is given.</t>
    </r>
  </si>
  <si>
    <t>ROCKET PERFORMANCE</t>
  </si>
  <si>
    <t>PROPELLANT DATA</t>
  </si>
  <si>
    <t>ROCKET BASIC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</si>
</sst>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7" formatCode="0.0000"/>
    <numFmt numFmtId="168" formatCode="0.0000000"/>
    <numFmt numFmtId="171" formatCode="0.00000"/>
  </numFmts>
  <fonts count="26">
    <font>
      <sz val="11"/>
      <color theme="1"/>
      <name val="Calibri"/>
      <family val="2"/>
      <scheme val="minor"/>
    </font>
    <font>
      <b/>
      <sz val="16"/>
      <color indexed="20"/>
      <name val="Arial"/>
      <family val="2"/>
    </font>
    <font>
      <b/>
      <sz val="12"/>
      <color indexed="20"/>
      <name val="Arial"/>
      <family val="2"/>
    </font>
    <font>
      <sz val="9"/>
      <color indexed="63"/>
      <name val="Arial"/>
      <family val="2"/>
    </font>
    <font>
      <i/>
      <sz val="9"/>
      <color indexed="63"/>
      <name val="Arial"/>
      <family val="2"/>
    </font>
    <font>
      <b/>
      <sz val="11"/>
      <color indexed="10"/>
      <name val="Arial"/>
      <family val="2"/>
    </font>
    <font>
      <sz val="11"/>
      <color indexed="8"/>
      <name val="Arial"/>
      <family val="2"/>
    </font>
    <font>
      <b/>
      <sz val="11"/>
      <color indexed="10"/>
      <name val="motorclass"/>
    </font>
    <font>
      <i/>
      <sz val="11"/>
      <color indexed="8"/>
      <name val="Calibri"/>
      <family val="2"/>
    </font>
    <font>
      <sz val="9"/>
      <color indexed="63"/>
      <name val="Symbol"/>
      <family val="1"/>
      <charset val="2"/>
    </font>
    <font>
      <sz val="12"/>
      <color indexed="8"/>
      <name val="Calibri"/>
      <family val="2"/>
    </font>
    <font>
      <b/>
      <sz val="12"/>
      <color indexed="8"/>
      <name val="Calibri"/>
      <family val="2"/>
    </font>
    <font>
      <sz val="12"/>
      <color indexed="8"/>
      <name val="Calibri"/>
      <family val="2"/>
    </font>
    <font>
      <b/>
      <sz val="12"/>
      <color indexed="8"/>
      <name val="Calibri"/>
      <family val="2"/>
    </font>
    <font>
      <b/>
      <sz val="10"/>
      <name val="Arial"/>
      <family val="2"/>
    </font>
    <font>
      <b/>
      <sz val="12"/>
      <color indexed="60"/>
      <name val="Arial"/>
      <family val="2"/>
    </font>
    <font>
      <sz val="11"/>
      <color theme="1"/>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11"/>
      <color theme="4" tint="-0.249977111117893"/>
      <name val="Calibri"/>
      <family val="2"/>
      <scheme val="minor"/>
    </font>
    <font>
      <b/>
      <sz val="11"/>
      <color rgb="FFFF0000"/>
      <name val="Calibri"/>
      <family val="2"/>
      <scheme val="minor"/>
    </font>
    <font>
      <sz val="12"/>
      <color theme="1"/>
      <name val="Calibri"/>
      <family val="2"/>
      <scheme val="minor"/>
    </font>
    <font>
      <b/>
      <sz val="12"/>
      <color theme="1"/>
      <name val="Calibri"/>
      <family val="2"/>
      <scheme val="minor"/>
    </font>
    <font>
      <b/>
      <sz val="11"/>
      <name val="Calibri"/>
      <family val="2"/>
      <scheme val="minor"/>
    </font>
  </fonts>
  <fills count="8">
    <fill>
      <patternFill patternType="none"/>
    </fill>
    <fill>
      <patternFill patternType="gray125"/>
    </fill>
    <fill>
      <patternFill patternType="solid">
        <fgColor indexed="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59999389629810485"/>
        <bgColor indexed="64"/>
      </patternFill>
    </fill>
  </fills>
  <borders count="39">
    <border>
      <left/>
      <right/>
      <top/>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style="thin">
        <color indexed="64"/>
      </right>
      <top/>
      <bottom style="double">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thin">
        <color indexed="64"/>
      </left>
      <right/>
      <top/>
      <bottom style="double">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7" fillId="0" borderId="0" applyNumberFormat="0" applyFill="0" applyBorder="0" applyAlignment="0" applyProtection="0"/>
    <xf numFmtId="9" fontId="16" fillId="0" borderId="0" applyFont="0" applyFill="0" applyBorder="0" applyAlignment="0" applyProtection="0"/>
  </cellStyleXfs>
  <cellXfs count="139">
    <xf numFmtId="0" fontId="0" fillId="0" borderId="0" xfId="0"/>
    <xf numFmtId="0" fontId="1" fillId="0" borderId="0" xfId="0" applyFont="1"/>
    <xf numFmtId="0" fontId="2" fillId="0" borderId="0" xfId="0" applyFont="1" applyAlignment="1">
      <alignment horizontal="left"/>
    </xf>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0" xfId="0" applyAlignment="1">
      <alignment horizontal="right"/>
    </xf>
    <xf numFmtId="0" fontId="19" fillId="0" borderId="0" xfId="0" applyFont="1" applyAlignment="1">
      <alignment horizontal="left"/>
    </xf>
    <xf numFmtId="0" fontId="0" fillId="0" borderId="0" xfId="0" applyFill="1" applyBorder="1" applyAlignment="1">
      <alignment horizontal="left"/>
    </xf>
    <xf numFmtId="2" fontId="16" fillId="0" borderId="0" xfId="2" applyNumberFormat="1" applyFont="1" applyFill="1" applyBorder="1"/>
    <xf numFmtId="0" fontId="0" fillId="0" borderId="0" xfId="0" applyFill="1" applyBorder="1"/>
    <xf numFmtId="1" fontId="16" fillId="0" borderId="0" xfId="2" applyNumberFormat="1" applyFont="1" applyFill="1" applyBorder="1"/>
    <xf numFmtId="0" fontId="19" fillId="0" borderId="0" xfId="0" applyFont="1"/>
    <xf numFmtId="165" fontId="0" fillId="0" borderId="0" xfId="0" applyNumberFormat="1"/>
    <xf numFmtId="2" fontId="0" fillId="0" borderId="0" xfId="0" applyNumberFormat="1"/>
    <xf numFmtId="0" fontId="6" fillId="2" borderId="5" xfId="0" applyFont="1" applyFill="1" applyBorder="1" applyAlignment="1">
      <alignment horizontal="right"/>
    </xf>
    <xf numFmtId="0" fontId="7" fillId="2" borderId="6" xfId="0" applyFont="1" applyFill="1" applyBorder="1" applyAlignment="1">
      <alignment horizontal="center"/>
    </xf>
    <xf numFmtId="0" fontId="6" fillId="2" borderId="7" xfId="0" applyFont="1" applyFill="1" applyBorder="1" applyAlignment="1">
      <alignment horizontal="right"/>
    </xf>
    <xf numFmtId="0" fontId="6" fillId="2" borderId="2" xfId="0" applyFont="1" applyFill="1" applyBorder="1" applyAlignment="1">
      <alignment horizontal="center"/>
    </xf>
    <xf numFmtId="0" fontId="6" fillId="2" borderId="8" xfId="0" applyFont="1" applyFill="1" applyBorder="1" applyAlignment="1">
      <alignment horizontal="left"/>
    </xf>
    <xf numFmtId="0" fontId="7" fillId="2" borderId="9" xfId="0" applyFont="1" applyFill="1" applyBorder="1" applyAlignment="1">
      <alignment horizontal="center"/>
    </xf>
    <xf numFmtId="0" fontId="6" fillId="2" borderId="10" xfId="0" applyFont="1" applyFill="1" applyBorder="1" applyAlignment="1">
      <alignment horizontal="right"/>
    </xf>
    <xf numFmtId="0" fontId="6" fillId="2" borderId="11" xfId="0" applyFont="1" applyFill="1" applyBorder="1" applyAlignment="1">
      <alignment horizontal="center"/>
    </xf>
    <xf numFmtId="0" fontId="6" fillId="2" borderId="12" xfId="0" applyFont="1" applyFill="1" applyBorder="1" applyAlignment="1">
      <alignment horizontal="left"/>
    </xf>
    <xf numFmtId="0" fontId="7" fillId="2" borderId="13" xfId="0" applyFont="1" applyFill="1" applyBorder="1" applyAlignment="1">
      <alignment horizontal="center"/>
    </xf>
    <xf numFmtId="0" fontId="6" fillId="2" borderId="14" xfId="0" applyFont="1" applyFill="1" applyBorder="1" applyAlignment="1">
      <alignment horizontal="right"/>
    </xf>
    <xf numFmtId="0" fontId="6" fillId="2" borderId="15" xfId="0" applyFont="1" applyFill="1" applyBorder="1" applyAlignment="1">
      <alignment horizontal="center"/>
    </xf>
    <xf numFmtId="0" fontId="6" fillId="2" borderId="16" xfId="0" applyFont="1" applyFill="1" applyBorder="1" applyAlignment="1">
      <alignment horizontal="left"/>
    </xf>
    <xf numFmtId="0" fontId="5" fillId="2" borderId="0" xfId="0" applyFont="1" applyFill="1" applyBorder="1" applyAlignment="1">
      <alignment horizontal="center"/>
    </xf>
    <xf numFmtId="0" fontId="6" fillId="2" borderId="17" xfId="0" applyFont="1" applyFill="1" applyBorder="1" applyAlignment="1">
      <alignment horizontal="center"/>
    </xf>
    <xf numFmtId="0" fontId="0" fillId="3" borderId="18" xfId="0" applyFill="1" applyBorder="1" applyAlignment="1">
      <alignment horizontal="center"/>
    </xf>
    <xf numFmtId="165" fontId="0" fillId="3" borderId="18" xfId="0" applyNumberFormat="1" applyFill="1" applyBorder="1" applyAlignment="1">
      <alignment horizontal="center"/>
    </xf>
    <xf numFmtId="167" fontId="0" fillId="3" borderId="18" xfId="0" applyNumberFormat="1" applyFill="1" applyBorder="1" applyAlignment="1">
      <alignment horizontal="center"/>
    </xf>
    <xf numFmtId="0" fontId="20" fillId="4" borderId="18" xfId="0" applyFont="1" applyFill="1" applyBorder="1" applyAlignment="1">
      <alignment horizontal="center"/>
    </xf>
    <xf numFmtId="0" fontId="0" fillId="4" borderId="18" xfId="0" applyFill="1" applyBorder="1"/>
    <xf numFmtId="164" fontId="0" fillId="0" borderId="0" xfId="0" applyNumberFormat="1"/>
    <xf numFmtId="171" fontId="0" fillId="0" borderId="0" xfId="0" applyNumberFormat="1"/>
    <xf numFmtId="168" fontId="0" fillId="0" borderId="0" xfId="0" applyNumberFormat="1"/>
    <xf numFmtId="0" fontId="18" fillId="0" borderId="19" xfId="0" applyFont="1" applyBorder="1" applyAlignment="1">
      <alignment horizontal="center"/>
    </xf>
    <xf numFmtId="0" fontId="18" fillId="0" borderId="0" xfId="0" applyFont="1" applyBorder="1" applyAlignment="1">
      <alignment horizontal="center"/>
    </xf>
    <xf numFmtId="0" fontId="0" fillId="0" borderId="20" xfId="0" applyBorder="1"/>
    <xf numFmtId="0" fontId="0" fillId="0" borderId="0" xfId="0" applyBorder="1" applyAlignment="1">
      <alignment horizontal="center"/>
    </xf>
    <xf numFmtId="0" fontId="0" fillId="0" borderId="0" xfId="0" applyBorder="1" applyAlignment="1">
      <alignment horizontal="right"/>
    </xf>
    <xf numFmtId="0" fontId="21" fillId="0" borderId="0" xfId="0" applyFont="1" applyBorder="1" applyAlignment="1">
      <alignment horizontal="left"/>
    </xf>
    <xf numFmtId="0" fontId="21" fillId="0" borderId="0" xfId="0" applyFont="1" applyBorder="1" applyAlignment="1"/>
    <xf numFmtId="0" fontId="0" fillId="0" borderId="0" xfId="0" quotePrefix="1" applyBorder="1" applyAlignment="1">
      <alignment horizontal="left"/>
    </xf>
    <xf numFmtId="1" fontId="0" fillId="0" borderId="0" xfId="0" applyNumberFormat="1" applyBorder="1"/>
    <xf numFmtId="165" fontId="0" fillId="0" borderId="0" xfId="0" applyNumberFormat="1"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22" fillId="0" borderId="27" xfId="0" applyFont="1" applyBorder="1"/>
    <xf numFmtId="0" fontId="19" fillId="0" borderId="0" xfId="0" applyFont="1" applyBorder="1"/>
    <xf numFmtId="2" fontId="0" fillId="0" borderId="0" xfId="0" applyNumberFormat="1" applyAlignment="1">
      <alignment horizontal="right"/>
    </xf>
    <xf numFmtId="0" fontId="19" fillId="3" borderId="29" xfId="0" applyFont="1" applyFill="1" applyBorder="1"/>
    <xf numFmtId="0" fontId="0" fillId="3" borderId="1" xfId="0" applyFill="1" applyBorder="1"/>
    <xf numFmtId="167" fontId="0" fillId="0" borderId="0" xfId="0" applyNumberFormat="1"/>
    <xf numFmtId="0" fontId="0" fillId="5" borderId="0" xfId="0" quotePrefix="1" applyFill="1" applyAlignment="1">
      <alignment horizontal="right"/>
    </xf>
    <xf numFmtId="0" fontId="0" fillId="5" borderId="0" xfId="0" applyFill="1"/>
    <xf numFmtId="164" fontId="0" fillId="0" borderId="0" xfId="0" applyNumberFormat="1" applyFont="1"/>
    <xf numFmtId="0" fontId="19" fillId="0" borderId="0" xfId="0" applyFont="1" applyFill="1" applyBorder="1" applyAlignment="1">
      <alignment horizontal="left"/>
    </xf>
    <xf numFmtId="165" fontId="16" fillId="0" borderId="0" xfId="2" applyNumberFormat="1" applyFont="1" applyFill="1" applyBorder="1"/>
    <xf numFmtId="0" fontId="19" fillId="0" borderId="0" xfId="0" applyFont="1" applyAlignment="1">
      <alignment horizontal="right"/>
    </xf>
    <xf numFmtId="164" fontId="0" fillId="0" borderId="0" xfId="0" applyNumberFormat="1" applyBorder="1"/>
    <xf numFmtId="2" fontId="0" fillId="0" borderId="0" xfId="0" applyNumberFormat="1" applyBorder="1"/>
    <xf numFmtId="2" fontId="6" fillId="2" borderId="7" xfId="0" applyNumberFormat="1" applyFont="1" applyFill="1" applyBorder="1" applyAlignment="1">
      <alignment horizontal="right"/>
    </xf>
    <xf numFmtId="2" fontId="6" fillId="2" borderId="8" xfId="0" applyNumberFormat="1" applyFont="1" applyFill="1" applyBorder="1" applyAlignment="1">
      <alignment horizontal="left"/>
    </xf>
    <xf numFmtId="2" fontId="6" fillId="2" borderId="12" xfId="0" applyNumberFormat="1" applyFont="1" applyFill="1" applyBorder="1" applyAlignment="1">
      <alignment horizontal="left"/>
    </xf>
    <xf numFmtId="164" fontId="6" fillId="2" borderId="12" xfId="0" applyNumberFormat="1" applyFont="1" applyFill="1" applyBorder="1" applyAlignment="1">
      <alignment horizontal="left"/>
    </xf>
    <xf numFmtId="1" fontId="6" fillId="2" borderId="12" xfId="0" applyNumberFormat="1" applyFont="1" applyFill="1" applyBorder="1" applyAlignment="1">
      <alignment horizontal="left"/>
    </xf>
    <xf numFmtId="1" fontId="6" fillId="2" borderId="16" xfId="0" applyNumberFormat="1" applyFont="1" applyFill="1" applyBorder="1" applyAlignment="1">
      <alignment horizontal="left"/>
    </xf>
    <xf numFmtId="164" fontId="6" fillId="2" borderId="7" xfId="0" applyNumberFormat="1" applyFont="1" applyFill="1" applyBorder="1" applyAlignment="1">
      <alignment horizontal="right"/>
    </xf>
    <xf numFmtId="1" fontId="6" fillId="2" borderId="7" xfId="0" applyNumberFormat="1" applyFont="1" applyFill="1" applyBorder="1" applyAlignment="1">
      <alignment horizontal="right"/>
    </xf>
    <xf numFmtId="0" fontId="0" fillId="0" borderId="11" xfId="0" applyBorder="1"/>
    <xf numFmtId="0" fontId="0" fillId="0" borderId="30" xfId="0" applyBorder="1" applyAlignment="1">
      <alignment wrapText="1"/>
    </xf>
    <xf numFmtId="0" fontId="0" fillId="0" borderId="31" xfId="0" applyBorder="1" applyAlignment="1">
      <alignment wrapText="1"/>
    </xf>
    <xf numFmtId="0" fontId="18" fillId="0" borderId="10" xfId="0" applyFont="1" applyBorder="1" applyAlignment="1">
      <alignment vertical="top"/>
    </xf>
    <xf numFmtId="0" fontId="18" fillId="0" borderId="7" xfId="0" applyFont="1" applyBorder="1" applyAlignment="1">
      <alignment vertical="top"/>
    </xf>
    <xf numFmtId="0" fontId="0" fillId="0" borderId="30" xfId="0" applyBorder="1"/>
    <xf numFmtId="0" fontId="3" fillId="3" borderId="18" xfId="0" applyFont="1" applyFill="1" applyBorder="1" applyAlignment="1">
      <alignment horizontal="left"/>
    </xf>
    <xf numFmtId="164" fontId="3" fillId="3" borderId="18" xfId="0" applyNumberFormat="1" applyFont="1" applyFill="1" applyBorder="1" applyAlignment="1">
      <alignment horizontal="left"/>
    </xf>
    <xf numFmtId="17" fontId="3" fillId="3" borderId="18" xfId="0" applyNumberFormat="1" applyFont="1" applyFill="1" applyBorder="1" applyAlignment="1">
      <alignment horizontal="left"/>
    </xf>
    <xf numFmtId="0" fontId="23" fillId="0" borderId="0" xfId="0" applyFont="1"/>
    <xf numFmtId="0" fontId="23" fillId="0" borderId="0" xfId="0" applyFont="1" applyAlignment="1">
      <alignment wrapText="1"/>
    </xf>
    <xf numFmtId="0" fontId="24" fillId="0" borderId="0" xfId="0" applyFont="1" applyBorder="1" applyAlignment="1">
      <alignment vertical="top"/>
    </xf>
    <xf numFmtId="0" fontId="23" fillId="0" borderId="0" xfId="0" applyFont="1" applyBorder="1"/>
    <xf numFmtId="0" fontId="25" fillId="3" borderId="10" xfId="0" applyFont="1" applyFill="1" applyBorder="1"/>
    <xf numFmtId="0" fontId="0" fillId="3" borderId="11" xfId="0" applyFill="1" applyBorder="1"/>
    <xf numFmtId="0" fontId="0" fillId="3" borderId="30" xfId="0" applyFill="1" applyBorder="1"/>
    <xf numFmtId="0" fontId="18" fillId="5" borderId="10" xfId="0" applyFont="1" applyFill="1" applyBorder="1"/>
    <xf numFmtId="0" fontId="0" fillId="5" borderId="11" xfId="0" applyFill="1" applyBorder="1"/>
    <xf numFmtId="0" fontId="0" fillId="5" borderId="30" xfId="0" applyFill="1" applyBorder="1"/>
    <xf numFmtId="0" fontId="17" fillId="0" borderId="0" xfId="1" applyFill="1" applyBorder="1" applyAlignment="1">
      <alignment vertical="top"/>
    </xf>
    <xf numFmtId="0" fontId="19" fillId="0" borderId="0" xfId="0" applyFont="1" applyFill="1" applyBorder="1" applyAlignment="1">
      <alignment vertical="top"/>
    </xf>
    <xf numFmtId="0" fontId="0" fillId="0" borderId="29" xfId="0" applyBorder="1"/>
    <xf numFmtId="0" fontId="14" fillId="0" borderId="1" xfId="0" applyFont="1" applyBorder="1"/>
    <xf numFmtId="0" fontId="14" fillId="0" borderId="7" xfId="0" applyFont="1" applyBorder="1" applyAlignment="1">
      <alignment horizontal="right"/>
    </xf>
    <xf numFmtId="0" fontId="14" fillId="0" borderId="2" xfId="0" applyFont="1" applyBorder="1" applyAlignment="1">
      <alignment horizontal="right"/>
    </xf>
    <xf numFmtId="0" fontId="14" fillId="0" borderId="2" xfId="0" applyFont="1" applyBorder="1" applyAlignment="1">
      <alignment horizontal="center"/>
    </xf>
    <xf numFmtId="0" fontId="0" fillId="0" borderId="31" xfId="0" applyBorder="1"/>
    <xf numFmtId="2" fontId="0" fillId="0" borderId="10" xfId="0" applyNumberFormat="1" applyBorder="1" applyAlignment="1">
      <alignment horizontal="right"/>
    </xf>
    <xf numFmtId="17" fontId="0" fillId="0" borderId="11" xfId="0" applyNumberFormat="1" applyBorder="1" applyAlignment="1">
      <alignment horizontal="right"/>
    </xf>
    <xf numFmtId="0" fontId="0" fillId="0" borderId="11" xfId="0" applyBorder="1" applyAlignment="1">
      <alignment horizontal="right"/>
    </xf>
    <xf numFmtId="0" fontId="0" fillId="6" borderId="19" xfId="0" applyFill="1" applyBorder="1" applyProtection="1">
      <protection locked="0"/>
    </xf>
    <xf numFmtId="2" fontId="0" fillId="6" borderId="19" xfId="0" applyNumberFormat="1" applyFill="1" applyBorder="1" applyProtection="1">
      <protection locked="0"/>
    </xf>
    <xf numFmtId="165" fontId="0" fillId="6" borderId="19" xfId="0" applyNumberFormat="1" applyFill="1" applyBorder="1" applyProtection="1">
      <protection locked="0"/>
    </xf>
    <xf numFmtId="2" fontId="0" fillId="7" borderId="19" xfId="0" applyNumberFormat="1" applyFill="1" applyBorder="1" applyAlignment="1" applyProtection="1">
      <alignment horizontal="right"/>
      <protection locked="0"/>
    </xf>
    <xf numFmtId="1" fontId="16" fillId="7" borderId="19" xfId="2" applyNumberFormat="1" applyFont="1" applyFill="1" applyBorder="1" applyAlignment="1" applyProtection="1">
      <alignment horizontal="right"/>
      <protection locked="0"/>
    </xf>
    <xf numFmtId="2" fontId="16" fillId="7" borderId="19" xfId="2" applyNumberFormat="1" applyFont="1" applyFill="1" applyBorder="1" applyAlignment="1" applyProtection="1">
      <alignment horizontal="right"/>
      <protection locked="0"/>
    </xf>
    <xf numFmtId="2" fontId="16" fillId="7" borderId="32" xfId="2" applyNumberFormat="1" applyFont="1" applyFill="1" applyBorder="1" applyAlignment="1" applyProtection="1">
      <alignment horizontal="right"/>
      <protection locked="0"/>
    </xf>
    <xf numFmtId="0" fontId="0" fillId="6" borderId="18" xfId="0" applyFill="1" applyBorder="1" applyAlignment="1" applyProtection="1">
      <alignment horizontal="center"/>
      <protection locked="0"/>
    </xf>
    <xf numFmtId="165" fontId="0" fillId="6" borderId="18" xfId="0" applyNumberFormat="1" applyFill="1" applyBorder="1" applyAlignment="1" applyProtection="1">
      <alignment horizontal="center"/>
      <protection locked="0"/>
    </xf>
    <xf numFmtId="167" fontId="0" fillId="6" borderId="18" xfId="0" applyNumberFormat="1" applyFill="1" applyBorder="1" applyAlignment="1" applyProtection="1">
      <alignment horizontal="center"/>
      <protection locked="0"/>
    </xf>
    <xf numFmtId="0" fontId="23" fillId="0" borderId="0" xfId="0" applyFont="1" applyAlignment="1">
      <alignment horizontal="left"/>
    </xf>
    <xf numFmtId="0" fontId="23" fillId="0" borderId="0" xfId="0" applyFont="1" applyAlignment="1">
      <alignment horizontal="left" wrapText="1"/>
    </xf>
    <xf numFmtId="0" fontId="4" fillId="3" borderId="18" xfId="0" applyFont="1" applyFill="1" applyBorder="1" applyAlignment="1">
      <alignment horizontal="left"/>
    </xf>
    <xf numFmtId="0" fontId="18" fillId="3" borderId="18" xfId="0" applyFont="1" applyFill="1" applyBorder="1" applyAlignment="1">
      <alignment horizontal="center"/>
    </xf>
    <xf numFmtId="0" fontId="6" fillId="3" borderId="20" xfId="0" applyFont="1" applyFill="1" applyBorder="1" applyAlignment="1">
      <alignment horizontal="center"/>
    </xf>
    <xf numFmtId="0" fontId="6" fillId="3" borderId="0" xfId="0" applyFont="1" applyFill="1" applyBorder="1" applyAlignment="1">
      <alignment horizontal="center"/>
    </xf>
    <xf numFmtId="0" fontId="6" fillId="3" borderId="33" xfId="0" applyFont="1" applyFill="1" applyBorder="1" applyAlignment="1">
      <alignment horizontal="center"/>
    </xf>
    <xf numFmtId="0" fontId="6" fillId="3" borderId="34" xfId="0" applyFont="1" applyFill="1" applyBorder="1" applyAlignment="1">
      <alignment horizontal="center"/>
    </xf>
    <xf numFmtId="0" fontId="6" fillId="3" borderId="27" xfId="0" applyFont="1" applyFill="1" applyBorder="1" applyAlignment="1">
      <alignment horizontal="center"/>
    </xf>
    <xf numFmtId="0" fontId="6" fillId="3" borderId="35" xfId="0" applyFont="1" applyFill="1" applyBorder="1" applyAlignment="1">
      <alignment horizontal="center"/>
    </xf>
    <xf numFmtId="0" fontId="5" fillId="2" borderId="36" xfId="0" applyFont="1" applyFill="1" applyBorder="1" applyAlignment="1">
      <alignment horizont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6" fillId="5" borderId="20" xfId="0" applyFont="1" applyFill="1" applyBorder="1" applyAlignment="1">
      <alignment horizontal="center"/>
    </xf>
    <xf numFmtId="0" fontId="6" fillId="5" borderId="0" xfId="0" applyFont="1" applyFill="1" applyBorder="1" applyAlignment="1">
      <alignment horizontal="center"/>
    </xf>
    <xf numFmtId="0" fontId="6" fillId="5" borderId="33" xfId="0" applyFont="1" applyFill="1" applyBorder="1" applyAlignment="1">
      <alignment horizontal="center"/>
    </xf>
    <xf numFmtId="0" fontId="6" fillId="5" borderId="34" xfId="0" applyFont="1" applyFill="1" applyBorder="1" applyAlignment="1">
      <alignment horizontal="center"/>
    </xf>
    <xf numFmtId="0" fontId="6" fillId="5" borderId="27" xfId="0" applyFont="1" applyFill="1" applyBorder="1" applyAlignment="1">
      <alignment horizontal="center"/>
    </xf>
    <xf numFmtId="0" fontId="6" fillId="5" borderId="35" xfId="0" applyFont="1" applyFill="1" applyBorder="1" applyAlignment="1">
      <alignment horizontal="center"/>
    </xf>
  </cellXfs>
  <cellStyles count="3">
    <cellStyle name="Hiperlink" xfId="1" builtinId="8"/>
    <cellStyle name="Normal" xfId="0" builtinId="0"/>
    <cellStyle name="Porcentagem"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www.nakka-rocketry.net/" TargetMode="External"/><Relationship Id="rId1" Type="http://schemas.openxmlformats.org/officeDocument/2006/relationships/hyperlink" Target="mailto:richard.rocketry@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8"/>
  <sheetViews>
    <sheetView showGridLines="0" zoomScaleNormal="100" workbookViewId="0"/>
  </sheetViews>
  <sheetFormatPr defaultRowHeight="15"/>
  <cols>
    <col min="1" max="1" width="2.140625" customWidth="1"/>
    <col min="4" max="4" width="75.85546875" customWidth="1"/>
    <col min="5" max="5" width="14.85546875" customWidth="1"/>
    <col min="6" max="6" width="15.28515625" customWidth="1"/>
  </cols>
  <sheetData>
    <row r="2" spans="2:10" ht="20.25">
      <c r="B2" s="1" t="s">
        <v>4</v>
      </c>
    </row>
    <row r="3" spans="2:10" ht="15.75">
      <c r="B3" s="2" t="s">
        <v>7</v>
      </c>
      <c r="E3" s="86" t="s">
        <v>0</v>
      </c>
      <c r="F3" s="86" t="s">
        <v>6</v>
      </c>
      <c r="G3" s="86"/>
      <c r="H3" s="4"/>
      <c r="I3" s="4"/>
      <c r="J3" s="4"/>
    </row>
    <row r="4" spans="2:10">
      <c r="E4" s="86" t="s">
        <v>1</v>
      </c>
      <c r="F4" s="87" t="s">
        <v>124</v>
      </c>
      <c r="G4" s="86"/>
      <c r="H4" s="4"/>
      <c r="I4" s="4"/>
      <c r="J4" s="4"/>
    </row>
    <row r="5" spans="2:10">
      <c r="E5" s="86" t="s">
        <v>2</v>
      </c>
      <c r="F5" s="88" t="s">
        <v>5</v>
      </c>
      <c r="G5" s="86"/>
      <c r="H5" s="4"/>
      <c r="I5" s="4"/>
      <c r="J5" s="4"/>
    </row>
    <row r="6" spans="2:10">
      <c r="E6" s="122" t="s">
        <v>3</v>
      </c>
      <c r="F6" s="122"/>
      <c r="G6" s="122"/>
      <c r="H6" s="4"/>
      <c r="I6" s="4"/>
      <c r="J6" s="4"/>
    </row>
    <row r="8" spans="2:10" ht="78.75">
      <c r="B8" s="91" t="s">
        <v>175</v>
      </c>
      <c r="D8" s="90" t="s">
        <v>180</v>
      </c>
    </row>
    <row r="9" spans="2:10" ht="63">
      <c r="B9" s="92"/>
      <c r="D9" s="90" t="s">
        <v>176</v>
      </c>
    </row>
    <row r="10" spans="2:10" ht="31.5">
      <c r="B10" s="92"/>
      <c r="D10" s="90" t="s">
        <v>181</v>
      </c>
    </row>
    <row r="11" spans="2:10" ht="15.75">
      <c r="B11" s="89"/>
      <c r="D11" s="120" t="s">
        <v>192</v>
      </c>
    </row>
    <row r="12" spans="2:10" ht="15.75">
      <c r="B12" s="89"/>
      <c r="D12" s="89"/>
    </row>
    <row r="13" spans="2:10" ht="78.75">
      <c r="B13" s="89"/>
      <c r="D13" s="121" t="s">
        <v>193</v>
      </c>
    </row>
    <row r="15" spans="2:10">
      <c r="B15" s="93" t="s">
        <v>156</v>
      </c>
      <c r="C15" s="94"/>
      <c r="D15" s="95"/>
    </row>
    <row r="16" spans="2:10">
      <c r="B16" s="83" t="s">
        <v>142</v>
      </c>
      <c r="C16" s="80"/>
      <c r="D16" s="81" t="s">
        <v>144</v>
      </c>
    </row>
    <row r="17" spans="2:4" ht="30">
      <c r="B17" s="83" t="s">
        <v>149</v>
      </c>
      <c r="C17" s="80"/>
      <c r="D17" s="81" t="s">
        <v>145</v>
      </c>
    </row>
    <row r="18" spans="2:4" ht="30">
      <c r="B18" s="83" t="s">
        <v>143</v>
      </c>
      <c r="C18" s="80"/>
      <c r="D18" s="81" t="s">
        <v>146</v>
      </c>
    </row>
    <row r="19" spans="2:4" ht="30">
      <c r="B19" s="83" t="s">
        <v>150</v>
      </c>
      <c r="C19" s="80"/>
      <c r="D19" s="81" t="s">
        <v>147</v>
      </c>
    </row>
    <row r="20" spans="2:4" ht="45">
      <c r="B20" s="83" t="s">
        <v>151</v>
      </c>
      <c r="C20" s="80"/>
      <c r="D20" s="81" t="s">
        <v>148</v>
      </c>
    </row>
    <row r="21" spans="2:4" ht="30">
      <c r="B21" s="84" t="s">
        <v>152</v>
      </c>
      <c r="C21" s="5"/>
      <c r="D21" s="82" t="s">
        <v>154</v>
      </c>
    </row>
    <row r="22" spans="2:4" ht="90">
      <c r="B22" s="83" t="s">
        <v>153</v>
      </c>
      <c r="C22" s="80"/>
      <c r="D22" s="81" t="s">
        <v>155</v>
      </c>
    </row>
    <row r="24" spans="2:4">
      <c r="B24" s="96" t="s">
        <v>157</v>
      </c>
      <c r="C24" s="97"/>
      <c r="D24" s="98"/>
    </row>
    <row r="25" spans="2:4">
      <c r="B25" s="83" t="s">
        <v>151</v>
      </c>
      <c r="C25" s="80"/>
      <c r="D25" s="81" t="s">
        <v>158</v>
      </c>
    </row>
    <row r="26" spans="2:4">
      <c r="B26" s="83" t="s">
        <v>159</v>
      </c>
      <c r="C26" s="80"/>
      <c r="D26" s="81" t="s">
        <v>160</v>
      </c>
    </row>
    <row r="27" spans="2:4">
      <c r="B27" s="83" t="s">
        <v>161</v>
      </c>
      <c r="C27" s="80"/>
      <c r="D27" s="81" t="s">
        <v>162</v>
      </c>
    </row>
    <row r="28" spans="2:4">
      <c r="B28" s="83" t="s">
        <v>163</v>
      </c>
      <c r="C28" s="80"/>
      <c r="D28" s="81" t="s">
        <v>164</v>
      </c>
    </row>
    <row r="29" spans="2:4">
      <c r="B29" s="83" t="s">
        <v>165</v>
      </c>
      <c r="C29" s="80"/>
      <c r="D29" s="81" t="s">
        <v>166</v>
      </c>
    </row>
    <row r="30" spans="2:4" ht="30">
      <c r="B30" s="84" t="s">
        <v>63</v>
      </c>
      <c r="C30" s="5"/>
      <c r="D30" s="82" t="s">
        <v>167</v>
      </c>
    </row>
    <row r="31" spans="2:4">
      <c r="B31" s="83" t="s">
        <v>62</v>
      </c>
      <c r="C31" s="80"/>
      <c r="D31" s="81" t="s">
        <v>168</v>
      </c>
    </row>
    <row r="32" spans="2:4">
      <c r="B32" s="83" t="s">
        <v>169</v>
      </c>
      <c r="C32" s="80"/>
      <c r="D32" s="81" t="s">
        <v>170</v>
      </c>
    </row>
    <row r="33" spans="2:4" ht="30">
      <c r="B33" s="83" t="s">
        <v>171</v>
      </c>
      <c r="C33" s="80"/>
      <c r="D33" s="81" t="s">
        <v>172</v>
      </c>
    </row>
    <row r="34" spans="2:4" ht="30">
      <c r="B34" s="83" t="s">
        <v>173</v>
      </c>
      <c r="C34" s="80"/>
      <c r="D34" s="81" t="s">
        <v>174</v>
      </c>
    </row>
    <row r="36" spans="2:4">
      <c r="B36" s="100" t="s">
        <v>178</v>
      </c>
    </row>
    <row r="37" spans="2:4">
      <c r="B37" s="99" t="s">
        <v>179</v>
      </c>
    </row>
    <row r="38" spans="2:4">
      <c r="B38" s="99" t="s">
        <v>177</v>
      </c>
    </row>
  </sheetData>
  <sheetProtection password="C7BC" sheet="1"/>
  <mergeCells count="1">
    <mergeCell ref="E6:G6"/>
  </mergeCells>
  <hyperlinks>
    <hyperlink ref="B37" r:id="rId1"/>
    <hyperlink ref="B3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43"/>
  <sheetViews>
    <sheetView showGridLines="0" tabSelected="1" zoomScaleNormal="100" workbookViewId="0">
      <selection activeCell="E10" sqref="E10"/>
    </sheetView>
  </sheetViews>
  <sheetFormatPr defaultRowHeight="15"/>
  <cols>
    <col min="1" max="1" width="4.85546875" customWidth="1"/>
    <col min="3" max="3" width="22.7109375" customWidth="1"/>
    <col min="4" max="4" width="3.28515625" customWidth="1"/>
  </cols>
  <sheetData>
    <row r="2" spans="2:10">
      <c r="B2" s="61" t="s">
        <v>116</v>
      </c>
      <c r="C2" s="62"/>
      <c r="D2" s="62"/>
      <c r="E2" s="62"/>
      <c r="F2" s="62"/>
      <c r="G2" s="62"/>
      <c r="H2" s="62"/>
      <c r="I2" s="3"/>
      <c r="J2" s="6"/>
    </row>
    <row r="3" spans="2:10" ht="15.75" thickBot="1">
      <c r="B3" s="42"/>
      <c r="C3" s="4"/>
      <c r="D3" s="4"/>
      <c r="E3" s="4"/>
      <c r="F3" s="4"/>
      <c r="G3" s="4"/>
      <c r="H3" s="4"/>
      <c r="I3" s="4"/>
      <c r="J3" s="7"/>
    </row>
    <row r="4" spans="2:10" ht="15.75" thickBot="1">
      <c r="B4" s="42"/>
      <c r="C4" s="40" t="s">
        <v>87</v>
      </c>
      <c r="D4" s="4"/>
      <c r="E4" s="110">
        <v>1650</v>
      </c>
      <c r="F4" s="4" t="s">
        <v>10</v>
      </c>
      <c r="G4" s="4"/>
      <c r="H4" s="4"/>
      <c r="I4" s="4"/>
      <c r="J4" s="7"/>
    </row>
    <row r="5" spans="2:10">
      <c r="B5" s="42"/>
      <c r="C5" s="41"/>
      <c r="D5" s="4"/>
      <c r="E5" s="12"/>
      <c r="F5" s="4"/>
      <c r="G5" s="4"/>
      <c r="H5" s="4"/>
      <c r="I5" s="4"/>
      <c r="J5" s="7"/>
    </row>
    <row r="6" spans="2:10" ht="15.75" thickBot="1">
      <c r="B6" s="42"/>
      <c r="C6" s="43"/>
      <c r="D6" s="4"/>
      <c r="E6" s="4"/>
      <c r="F6" s="4"/>
      <c r="G6" s="4"/>
      <c r="H6" s="4"/>
      <c r="I6" s="4"/>
      <c r="J6" s="7"/>
    </row>
    <row r="7" spans="2:10" ht="15.75" thickBot="1">
      <c r="B7" s="42"/>
      <c r="C7" s="40" t="s">
        <v>196</v>
      </c>
      <c r="D7" s="4"/>
      <c r="E7" s="4"/>
      <c r="F7" s="4"/>
      <c r="G7" s="4"/>
      <c r="H7" s="4"/>
      <c r="I7" s="4"/>
      <c r="J7" s="7"/>
    </row>
    <row r="8" spans="2:10" ht="15.75" thickBot="1">
      <c r="B8" s="42"/>
      <c r="C8" s="44" t="s">
        <v>105</v>
      </c>
      <c r="D8" s="4"/>
      <c r="E8" s="111">
        <v>120</v>
      </c>
      <c r="F8" s="4" t="s">
        <v>11</v>
      </c>
      <c r="G8" s="4"/>
      <c r="H8" s="4"/>
      <c r="I8" s="4"/>
      <c r="J8" s="7"/>
    </row>
    <row r="9" spans="2:10" ht="15.75" thickBot="1">
      <c r="B9" s="42"/>
      <c r="C9" s="44" t="s">
        <v>106</v>
      </c>
      <c r="D9" s="4"/>
      <c r="E9" s="112">
        <v>8.6</v>
      </c>
      <c r="F9" s="4" t="s">
        <v>8</v>
      </c>
      <c r="G9" s="4"/>
      <c r="H9" s="4"/>
      <c r="I9" s="4"/>
      <c r="J9" s="7"/>
    </row>
    <row r="10" spans="2:10" ht="15.75" thickBot="1">
      <c r="B10" s="42"/>
      <c r="C10" s="44" t="s">
        <v>107</v>
      </c>
      <c r="D10" s="4"/>
      <c r="E10" s="113" t="s">
        <v>108</v>
      </c>
      <c r="F10" s="59" t="s">
        <v>114</v>
      </c>
      <c r="G10" s="4"/>
      <c r="H10" s="4"/>
      <c r="I10" s="4"/>
      <c r="J10" s="7"/>
    </row>
    <row r="11" spans="2:10" ht="15.75" thickBot="1">
      <c r="B11" s="42"/>
      <c r="C11" s="44"/>
      <c r="D11" s="4"/>
      <c r="E11" s="4"/>
      <c r="F11" s="4"/>
      <c r="G11" s="4"/>
      <c r="H11" s="4"/>
      <c r="I11" s="4"/>
      <c r="J11" s="7"/>
    </row>
    <row r="12" spans="2:10" ht="15.75" thickBot="1">
      <c r="B12" s="42"/>
      <c r="C12" s="40" t="s">
        <v>111</v>
      </c>
      <c r="D12" s="4"/>
      <c r="E12" s="4"/>
      <c r="F12" s="4"/>
      <c r="G12" s="4"/>
      <c r="H12" s="4"/>
      <c r="I12" s="4"/>
      <c r="J12" s="7"/>
    </row>
    <row r="13" spans="2:10">
      <c r="B13" s="42"/>
      <c r="C13" s="45" t="s">
        <v>117</v>
      </c>
      <c r="D13" s="4"/>
      <c r="E13" s="4"/>
      <c r="F13" s="4"/>
      <c r="G13" s="4"/>
      <c r="H13" s="4"/>
      <c r="I13" s="4"/>
      <c r="J13" s="7"/>
    </row>
    <row r="14" spans="2:10" ht="15.75" thickBot="1">
      <c r="B14" s="42"/>
      <c r="C14" s="46" t="s">
        <v>118</v>
      </c>
      <c r="D14" s="4"/>
      <c r="E14" s="4"/>
      <c r="F14" s="4"/>
      <c r="G14" s="4"/>
      <c r="H14" s="4"/>
      <c r="I14" s="4"/>
      <c r="J14" s="7"/>
    </row>
    <row r="15" spans="2:10" ht="15.75" thickBot="1">
      <c r="B15" s="42"/>
      <c r="C15" s="44" t="s">
        <v>12</v>
      </c>
      <c r="D15" s="4"/>
      <c r="E15" s="114" t="s">
        <v>108</v>
      </c>
      <c r="F15" s="47" t="s">
        <v>110</v>
      </c>
      <c r="G15" s="4"/>
      <c r="H15" s="4"/>
      <c r="I15" s="4"/>
      <c r="J15" s="7"/>
    </row>
    <row r="16" spans="2:10" ht="15.75" thickBot="1">
      <c r="B16" s="42"/>
      <c r="C16" s="44" t="s">
        <v>13</v>
      </c>
      <c r="D16" s="4"/>
      <c r="E16" s="114" t="s">
        <v>108</v>
      </c>
      <c r="F16" s="47" t="s">
        <v>141</v>
      </c>
      <c r="G16" s="4"/>
      <c r="H16" s="4"/>
      <c r="I16" s="4"/>
      <c r="J16" s="7"/>
    </row>
    <row r="17" spans="2:10" ht="15.75" thickBot="1">
      <c r="B17" s="42"/>
      <c r="C17" s="44" t="s">
        <v>24</v>
      </c>
      <c r="D17" s="4"/>
      <c r="E17" s="115" t="s">
        <v>29</v>
      </c>
      <c r="F17" s="4"/>
      <c r="G17" s="4"/>
      <c r="H17" s="4"/>
      <c r="I17" s="4"/>
      <c r="J17" s="7"/>
    </row>
    <row r="18" spans="2:10" ht="15.75" thickBot="1">
      <c r="B18" s="42"/>
      <c r="C18" s="44" t="s">
        <v>16</v>
      </c>
      <c r="D18" s="4"/>
      <c r="E18" s="116" t="s">
        <v>108</v>
      </c>
      <c r="F18" s="67" t="s">
        <v>123</v>
      </c>
      <c r="G18" s="4"/>
      <c r="H18" s="4"/>
      <c r="I18" s="4"/>
      <c r="J18" s="7"/>
    </row>
    <row r="19" spans="2:10" ht="16.5" thickTop="1" thickBot="1">
      <c r="B19" s="50"/>
      <c r="C19" s="51"/>
      <c r="D19" s="51"/>
      <c r="E19" s="51"/>
      <c r="F19" s="51"/>
      <c r="G19" s="51"/>
      <c r="H19" s="51"/>
      <c r="I19" s="51"/>
      <c r="J19" s="52"/>
    </row>
    <row r="20" spans="2:10" ht="15.75" thickBot="1">
      <c r="B20" s="53"/>
      <c r="C20" s="40" t="s">
        <v>195</v>
      </c>
      <c r="D20" s="4"/>
      <c r="E20" s="4"/>
      <c r="F20" s="4"/>
      <c r="G20" s="4"/>
      <c r="H20" s="4"/>
      <c r="I20" s="4"/>
      <c r="J20" s="54"/>
    </row>
    <row r="21" spans="2:10">
      <c r="B21" s="53"/>
      <c r="C21" s="44" t="s">
        <v>14</v>
      </c>
      <c r="D21" s="4"/>
      <c r="E21" s="11">
        <f>VLOOKUP(E17,Propellants!C8:F14,2,FALSE)</f>
        <v>1.78505</v>
      </c>
      <c r="F21" s="4" t="s">
        <v>15</v>
      </c>
      <c r="G21" s="4"/>
      <c r="H21" s="4"/>
      <c r="I21" s="4"/>
      <c r="J21" s="54"/>
    </row>
    <row r="22" spans="2:10">
      <c r="B22" s="53"/>
      <c r="C22" s="44" t="s">
        <v>18</v>
      </c>
      <c r="D22" s="4"/>
      <c r="E22" s="13">
        <f>VLOOKUP(E17,Propellants!C8:F14,4,FALSE)</f>
        <v>130</v>
      </c>
      <c r="F22" s="10" t="s">
        <v>59</v>
      </c>
      <c r="G22" s="4"/>
      <c r="H22" s="4"/>
      <c r="I22" s="4"/>
      <c r="J22" s="54"/>
    </row>
    <row r="23" spans="2:10" ht="15.75" thickBot="1">
      <c r="B23" s="53"/>
      <c r="C23" s="44"/>
      <c r="D23" s="4"/>
      <c r="E23" s="13"/>
      <c r="F23" s="10"/>
      <c r="G23" s="4"/>
      <c r="H23" s="4"/>
      <c r="I23" s="4"/>
      <c r="J23" s="54"/>
    </row>
    <row r="24" spans="2:10" ht="15.75" thickBot="1">
      <c r="B24" s="53"/>
      <c r="C24" s="40" t="s">
        <v>112</v>
      </c>
      <c r="D24" s="4"/>
      <c r="E24" s="4"/>
      <c r="F24" s="4"/>
      <c r="G24" s="4"/>
      <c r="H24" s="4"/>
      <c r="I24" s="4"/>
      <c r="J24" s="54"/>
    </row>
    <row r="25" spans="2:10">
      <c r="B25" s="53"/>
      <c r="C25" s="44" t="s">
        <v>36</v>
      </c>
      <c r="D25" s="4"/>
      <c r="E25" s="48">
        <f>IF(E15="default",0.75*d,E15/100*d)</f>
        <v>90</v>
      </c>
      <c r="F25" s="4" t="s">
        <v>11</v>
      </c>
      <c r="G25" s="4"/>
      <c r="H25" s="4"/>
      <c r="I25" s="4"/>
      <c r="J25" s="54"/>
    </row>
    <row r="26" spans="2:10">
      <c r="B26" s="53"/>
      <c r="C26" s="44" t="s">
        <v>37</v>
      </c>
      <c r="D26" s="4"/>
      <c r="E26" s="48">
        <f>calc!I36*1000</f>
        <v>204.86036489062852</v>
      </c>
      <c r="F26" s="10" t="s">
        <v>11</v>
      </c>
      <c r="G26" s="4"/>
      <c r="H26" s="4"/>
      <c r="I26" s="4"/>
      <c r="J26" s="54"/>
    </row>
    <row r="27" spans="2:10">
      <c r="B27" s="53"/>
      <c r="C27" s="44" t="s">
        <v>35</v>
      </c>
      <c r="D27" s="4"/>
      <c r="E27" s="48">
        <f>calc!I35*100^3</f>
        <v>1303.2653301380487</v>
      </c>
      <c r="F27" s="4" t="s">
        <v>38</v>
      </c>
      <c r="G27" s="4"/>
      <c r="H27" s="4"/>
      <c r="I27" s="4"/>
      <c r="J27" s="54"/>
    </row>
    <row r="28" spans="2:10">
      <c r="B28" s="53"/>
      <c r="C28" s="44" t="s">
        <v>39</v>
      </c>
      <c r="D28" s="4"/>
      <c r="E28" s="49">
        <f>calc!I33</f>
        <v>1.744795333172193</v>
      </c>
      <c r="F28" s="4" t="s">
        <v>8</v>
      </c>
      <c r="G28" s="4"/>
      <c r="H28" s="4"/>
      <c r="I28" s="4"/>
      <c r="J28" s="54"/>
    </row>
    <row r="29" spans="2:10" ht="15.75" thickBot="1">
      <c r="B29" s="53"/>
      <c r="C29" s="44"/>
      <c r="D29" s="4"/>
      <c r="E29" s="48"/>
      <c r="F29" s="10"/>
      <c r="G29" s="4"/>
      <c r="H29" s="4"/>
      <c r="I29" s="4"/>
      <c r="J29" s="54"/>
    </row>
    <row r="30" spans="2:10" ht="15.75" thickBot="1">
      <c r="B30" s="53"/>
      <c r="C30" s="40" t="s">
        <v>113</v>
      </c>
      <c r="D30" s="4"/>
      <c r="E30" s="4"/>
      <c r="F30" s="4"/>
      <c r="G30" s="4"/>
      <c r="H30" s="4"/>
      <c r="I30" s="4"/>
      <c r="J30" s="54"/>
    </row>
    <row r="31" spans="2:10">
      <c r="B31" s="53"/>
      <c r="C31" s="44" t="s">
        <v>55</v>
      </c>
      <c r="D31" s="4"/>
      <c r="E31" s="70">
        <f>calc!I31</f>
        <v>2224.6838416078731</v>
      </c>
      <c r="F31" s="4" t="s">
        <v>56</v>
      </c>
      <c r="G31" s="4"/>
      <c r="H31" s="4"/>
      <c r="I31" s="4"/>
      <c r="J31" s="54"/>
    </row>
    <row r="32" spans="2:10">
      <c r="B32" s="53"/>
      <c r="C32" s="44" t="s">
        <v>57</v>
      </c>
      <c r="D32" s="4"/>
      <c r="E32" s="70">
        <f>E31*tthrust</f>
        <v>2224.6838416078731</v>
      </c>
      <c r="F32" s="4" t="s">
        <v>58</v>
      </c>
      <c r="G32" s="4"/>
      <c r="H32" s="4"/>
      <c r="I32" s="4"/>
      <c r="J32" s="54"/>
    </row>
    <row r="33" spans="2:13">
      <c r="B33" s="53"/>
      <c r="C33" s="44" t="s">
        <v>60</v>
      </c>
      <c r="D33" s="4"/>
      <c r="E33" s="44" t="str">
        <f>VLOOKUP(E32,classtab,4,TRUE)</f>
        <v>K</v>
      </c>
      <c r="F33" s="4"/>
      <c r="G33" s="4"/>
      <c r="H33" s="4"/>
      <c r="I33" s="4"/>
      <c r="J33" s="54"/>
    </row>
    <row r="34" spans="2:13" ht="15.75" thickBot="1">
      <c r="B34" s="53"/>
      <c r="C34" s="4"/>
      <c r="D34" s="4"/>
      <c r="E34" s="4"/>
      <c r="F34" s="4"/>
      <c r="G34" s="4"/>
      <c r="H34" s="4"/>
      <c r="I34" s="4"/>
      <c r="J34" s="54"/>
    </row>
    <row r="35" spans="2:13" ht="15.75" thickBot="1">
      <c r="B35" s="53"/>
      <c r="C35" s="40" t="s">
        <v>194</v>
      </c>
      <c r="D35" s="4"/>
      <c r="E35" s="4"/>
      <c r="F35" s="4"/>
      <c r="G35" s="4"/>
      <c r="H35" s="4"/>
      <c r="I35" s="4"/>
      <c r="J35" s="54"/>
    </row>
    <row r="36" spans="2:13">
      <c r="B36" s="53"/>
      <c r="C36" s="44" t="s">
        <v>41</v>
      </c>
      <c r="D36" s="4"/>
      <c r="E36" s="49">
        <f>massd+E28</f>
        <v>10.344795333172193</v>
      </c>
      <c r="F36" s="4" t="s">
        <v>8</v>
      </c>
      <c r="G36" s="4"/>
      <c r="H36" s="4"/>
      <c r="I36" s="4"/>
      <c r="J36" s="54"/>
    </row>
    <row r="37" spans="2:13">
      <c r="B37" s="53"/>
      <c r="C37" s="44" t="s">
        <v>103</v>
      </c>
      <c r="D37" s="4"/>
      <c r="E37" s="48">
        <f>calc!I38</f>
        <v>225.05163321149939</v>
      </c>
      <c r="F37" s="4" t="s">
        <v>109</v>
      </c>
      <c r="G37" s="4"/>
      <c r="H37" s="4"/>
      <c r="I37" s="4"/>
      <c r="J37" s="54"/>
    </row>
    <row r="38" spans="2:13">
      <c r="B38" s="53"/>
      <c r="C38" s="44" t="s">
        <v>104</v>
      </c>
      <c r="D38" s="4"/>
      <c r="E38" s="48">
        <f>calc!I37</f>
        <v>112.5258166057497</v>
      </c>
      <c r="F38" s="4" t="s">
        <v>10</v>
      </c>
      <c r="G38" s="4"/>
      <c r="H38" s="4"/>
      <c r="I38" s="4"/>
      <c r="J38" s="54"/>
      <c r="K38" s="4"/>
      <c r="L38" s="4"/>
      <c r="M38" s="4"/>
    </row>
    <row r="39" spans="2:13" ht="15.75" thickBot="1">
      <c r="B39" s="55"/>
      <c r="C39" s="58" t="str">
        <f>IF(E37&gt;331,"Warning: Rocket is supersonic, results may be invalid","")</f>
        <v/>
      </c>
      <c r="D39" s="56"/>
      <c r="E39" s="56"/>
      <c r="F39" s="56"/>
      <c r="G39" s="56"/>
      <c r="H39" s="56"/>
      <c r="I39" s="56"/>
      <c r="J39" s="57"/>
      <c r="K39" s="4"/>
      <c r="L39" s="4"/>
      <c r="M39" s="4"/>
    </row>
    <row r="40" spans="2:13" ht="15.75" thickTop="1">
      <c r="B40" s="8"/>
      <c r="C40" s="4"/>
      <c r="D40" s="4"/>
      <c r="E40" s="4"/>
      <c r="F40" s="4"/>
      <c r="G40" s="4"/>
      <c r="H40" s="4"/>
      <c r="I40" s="4"/>
      <c r="J40" s="4"/>
      <c r="K40" s="4"/>
      <c r="L40" s="4"/>
      <c r="M40" s="4"/>
    </row>
    <row r="41" spans="2:13">
      <c r="B41" s="8"/>
      <c r="C41" s="10"/>
    </row>
    <row r="42" spans="2:13">
      <c r="B42" s="8"/>
      <c r="C42" s="10"/>
    </row>
    <row r="43" spans="2:13">
      <c r="B43" s="8"/>
      <c r="C43" s="10"/>
    </row>
  </sheetData>
  <sheetProtection password="C7BC" sheet="1"/>
  <dataValidations count="5">
    <dataValidation type="list" allowBlank="1" showInputMessage="1" showErrorMessage="1" prompt="Select from drop-down list" sqref="E15">
      <formula1>group_a</formula1>
    </dataValidation>
    <dataValidation type="list" allowBlank="1" showInputMessage="1" showErrorMessage="1" prompt="Select from drop-down list" sqref="E16">
      <formula1>group_c</formula1>
    </dataValidation>
    <dataValidation type="list" allowBlank="1" showInputMessage="1" showErrorMessage="1" prompt="Select from drop-down list" sqref="E17">
      <formula1>propellant</formula1>
    </dataValidation>
    <dataValidation type="list" allowBlank="1" showInputMessage="1" showErrorMessage="1" prompt="Select from drop-down list" sqref="E18">
      <formula1>group_b</formula1>
    </dataValidation>
    <dataValidation type="list" allowBlank="1" showInputMessage="1" showErrorMessage="1" prompt="Select from drop-down list" sqref="E10">
      <formula1>group_d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43"/>
  <sheetViews>
    <sheetView showGridLines="0" zoomScaleNormal="100" workbookViewId="0">
      <selection activeCell="M34" sqref="M34"/>
    </sheetView>
  </sheetViews>
  <sheetFormatPr defaultRowHeight="15"/>
  <cols>
    <col min="1" max="1" width="4.85546875" customWidth="1"/>
    <col min="3" max="3" width="22.7109375" customWidth="1"/>
    <col min="4" max="4" width="3.28515625" customWidth="1"/>
  </cols>
  <sheetData>
    <row r="2" spans="2:10">
      <c r="B2" s="61" t="s">
        <v>116</v>
      </c>
      <c r="C2" s="62"/>
      <c r="D2" s="62"/>
      <c r="E2" s="62"/>
      <c r="F2" s="62"/>
      <c r="G2" s="62"/>
      <c r="H2" s="62"/>
      <c r="I2" s="3"/>
      <c r="J2" s="6"/>
    </row>
    <row r="3" spans="2:10" ht="15.75" thickBot="1">
      <c r="B3" s="42"/>
      <c r="C3" s="4"/>
      <c r="D3" s="4"/>
      <c r="E3" s="4"/>
      <c r="F3" s="4"/>
      <c r="G3" s="4"/>
      <c r="H3" s="4"/>
      <c r="I3" s="4"/>
      <c r="J3" s="7"/>
    </row>
    <row r="4" spans="2:10" ht="15.75" thickBot="1">
      <c r="B4" s="42"/>
      <c r="C4" s="40" t="s">
        <v>87</v>
      </c>
      <c r="D4" s="4"/>
      <c r="E4" s="110">
        <v>1800</v>
      </c>
      <c r="F4" s="4" t="s">
        <v>125</v>
      </c>
      <c r="G4" s="4"/>
      <c r="H4" s="4"/>
      <c r="I4" s="4"/>
      <c r="J4" s="7"/>
    </row>
    <row r="5" spans="2:10">
      <c r="B5" s="42"/>
      <c r="C5" s="41"/>
      <c r="D5" s="4"/>
      <c r="E5" s="12"/>
      <c r="F5" s="4"/>
      <c r="G5" s="4"/>
      <c r="H5" s="4"/>
      <c r="I5" s="4"/>
      <c r="J5" s="7"/>
    </row>
    <row r="6" spans="2:10" ht="15.75" thickBot="1">
      <c r="B6" s="42"/>
      <c r="C6" s="43"/>
      <c r="D6" s="4"/>
      <c r="E6" s="4"/>
      <c r="F6" s="4"/>
      <c r="G6" s="4"/>
      <c r="H6" s="4"/>
      <c r="I6" s="4"/>
      <c r="J6" s="7"/>
    </row>
    <row r="7" spans="2:10" ht="15.75" thickBot="1">
      <c r="B7" s="42"/>
      <c r="C7" s="40" t="s">
        <v>196</v>
      </c>
      <c r="D7" s="4"/>
      <c r="E7" s="4"/>
      <c r="F7" s="4"/>
      <c r="G7" s="4"/>
      <c r="H7" s="4"/>
      <c r="I7" s="4"/>
      <c r="J7" s="7"/>
    </row>
    <row r="8" spans="2:10" ht="15.75" thickBot="1">
      <c r="B8" s="42"/>
      <c r="C8" s="44" t="s">
        <v>105</v>
      </c>
      <c r="D8" s="4"/>
      <c r="E8" s="111">
        <v>1.75</v>
      </c>
      <c r="F8" s="4" t="s">
        <v>126</v>
      </c>
      <c r="G8" s="4"/>
      <c r="H8" s="4"/>
      <c r="I8" s="4"/>
      <c r="J8" s="7"/>
    </row>
    <row r="9" spans="2:10" ht="15.75" thickBot="1">
      <c r="B9" s="42"/>
      <c r="C9" s="44" t="s">
        <v>106</v>
      </c>
      <c r="D9" s="4"/>
      <c r="E9" s="112">
        <v>3.25</v>
      </c>
      <c r="F9" s="4" t="s">
        <v>127</v>
      </c>
      <c r="G9" s="4"/>
      <c r="H9" s="4"/>
      <c r="I9" s="4"/>
      <c r="J9" s="7"/>
    </row>
    <row r="10" spans="2:10" ht="15.75" thickBot="1">
      <c r="B10" s="42"/>
      <c r="C10" s="44" t="s">
        <v>107</v>
      </c>
      <c r="D10" s="4"/>
      <c r="E10" s="113" t="s">
        <v>108</v>
      </c>
      <c r="F10" s="59" t="s">
        <v>114</v>
      </c>
      <c r="G10" s="4"/>
      <c r="H10" s="4"/>
      <c r="I10" s="4"/>
      <c r="J10" s="7"/>
    </row>
    <row r="11" spans="2:10" ht="15.75" thickBot="1">
      <c r="B11" s="42"/>
      <c r="C11" s="44"/>
      <c r="D11" s="4"/>
      <c r="E11" s="4"/>
      <c r="F11" s="4"/>
      <c r="G11" s="4"/>
      <c r="H11" s="4"/>
      <c r="I11" s="4"/>
      <c r="J11" s="7"/>
    </row>
    <row r="12" spans="2:10" ht="15.75" thickBot="1">
      <c r="B12" s="42"/>
      <c r="C12" s="40" t="s">
        <v>111</v>
      </c>
      <c r="D12" s="4"/>
      <c r="E12" s="4"/>
      <c r="F12" s="4"/>
      <c r="G12" s="4"/>
      <c r="H12" s="4"/>
      <c r="I12" s="4"/>
      <c r="J12" s="7"/>
    </row>
    <row r="13" spans="2:10">
      <c r="B13" s="42"/>
      <c r="C13" s="45" t="s">
        <v>117</v>
      </c>
      <c r="D13" s="4"/>
      <c r="E13" s="4"/>
      <c r="F13" s="4"/>
      <c r="G13" s="4"/>
      <c r="H13" s="4"/>
      <c r="I13" s="4"/>
      <c r="J13" s="7"/>
    </row>
    <row r="14" spans="2:10" ht="15.75" thickBot="1">
      <c r="B14" s="42"/>
      <c r="C14" s="46" t="s">
        <v>118</v>
      </c>
      <c r="D14" s="4"/>
      <c r="E14" s="4"/>
      <c r="F14" s="4"/>
      <c r="G14" s="4"/>
      <c r="H14" s="4"/>
      <c r="I14" s="4"/>
      <c r="J14" s="7"/>
    </row>
    <row r="15" spans="2:10" ht="15.75" thickBot="1">
      <c r="B15" s="42"/>
      <c r="C15" s="44" t="s">
        <v>12</v>
      </c>
      <c r="D15" s="4"/>
      <c r="E15" s="114" t="s">
        <v>108</v>
      </c>
      <c r="F15" s="47" t="s">
        <v>110</v>
      </c>
      <c r="G15" s="4"/>
      <c r="H15" s="4"/>
      <c r="I15" s="4"/>
      <c r="J15" s="7"/>
    </row>
    <row r="16" spans="2:10" ht="15.75" thickBot="1">
      <c r="B16" s="42"/>
      <c r="C16" s="44" t="s">
        <v>13</v>
      </c>
      <c r="D16" s="4"/>
      <c r="E16" s="114" t="s">
        <v>108</v>
      </c>
      <c r="F16" s="47" t="s">
        <v>141</v>
      </c>
      <c r="G16" s="4"/>
      <c r="H16" s="4"/>
      <c r="I16" s="4"/>
      <c r="J16" s="7"/>
    </row>
    <row r="17" spans="2:10" ht="15.75" thickBot="1">
      <c r="B17" s="42"/>
      <c r="C17" s="44" t="s">
        <v>24</v>
      </c>
      <c r="D17" s="4"/>
      <c r="E17" s="115" t="s">
        <v>29</v>
      </c>
      <c r="F17" s="4"/>
      <c r="G17" s="4"/>
      <c r="H17" s="4"/>
      <c r="I17" s="4"/>
      <c r="J17" s="7"/>
    </row>
    <row r="18" spans="2:10" ht="15.75" thickBot="1">
      <c r="B18" s="42"/>
      <c r="C18" s="44" t="s">
        <v>16</v>
      </c>
      <c r="D18" s="4"/>
      <c r="E18" s="116">
        <v>1.5</v>
      </c>
      <c r="F18" s="67" t="s">
        <v>123</v>
      </c>
      <c r="G18" s="4"/>
      <c r="H18" s="4"/>
      <c r="I18" s="4"/>
      <c r="J18" s="7"/>
    </row>
    <row r="19" spans="2:10" ht="16.5" thickTop="1" thickBot="1">
      <c r="B19" s="50"/>
      <c r="C19" s="51"/>
      <c r="D19" s="51"/>
      <c r="E19" s="51"/>
      <c r="F19" s="51"/>
      <c r="G19" s="51"/>
      <c r="H19" s="51"/>
      <c r="I19" s="51"/>
      <c r="J19" s="52"/>
    </row>
    <row r="20" spans="2:10" ht="15.75" thickBot="1">
      <c r="B20" s="53"/>
      <c r="C20" s="40" t="s">
        <v>195</v>
      </c>
      <c r="D20" s="4"/>
      <c r="E20" s="4"/>
      <c r="F20" s="4"/>
      <c r="G20" s="4"/>
      <c r="H20" s="4"/>
      <c r="I20" s="4"/>
      <c r="J20" s="54"/>
    </row>
    <row r="21" spans="2:10">
      <c r="B21" s="53"/>
      <c r="C21" s="44" t="s">
        <v>14</v>
      </c>
      <c r="D21" s="4"/>
      <c r="E21" s="68">
        <f>VLOOKUP(E17,Propellants!C8:F14,3,FALSE)</f>
        <v>6.443112024933921E-2</v>
      </c>
      <c r="F21" s="4" t="s">
        <v>128</v>
      </c>
      <c r="G21" s="4"/>
      <c r="H21" s="4"/>
      <c r="I21" s="4"/>
      <c r="J21" s="54"/>
    </row>
    <row r="22" spans="2:10">
      <c r="B22" s="53"/>
      <c r="C22" s="44" t="s">
        <v>18</v>
      </c>
      <c r="D22" s="4"/>
      <c r="E22" s="13">
        <f>VLOOKUP(E17,Propellants!C8:F14,4,FALSE)</f>
        <v>130</v>
      </c>
      <c r="F22" s="10" t="s">
        <v>59</v>
      </c>
      <c r="G22" s="4"/>
      <c r="H22" s="4"/>
      <c r="I22" s="4"/>
      <c r="J22" s="54"/>
    </row>
    <row r="23" spans="2:10" ht="15.75" thickBot="1">
      <c r="B23" s="53"/>
      <c r="C23" s="44"/>
      <c r="D23" s="4"/>
      <c r="E23" s="13"/>
      <c r="F23" s="10"/>
      <c r="G23" s="4"/>
      <c r="H23" s="4"/>
      <c r="I23" s="4"/>
      <c r="J23" s="54"/>
    </row>
    <row r="24" spans="2:10" ht="15.75" thickBot="1">
      <c r="B24" s="53"/>
      <c r="C24" s="40" t="s">
        <v>112</v>
      </c>
      <c r="D24" s="4"/>
      <c r="E24" s="4"/>
      <c r="F24" s="4"/>
      <c r="G24" s="4"/>
      <c r="H24" s="4"/>
      <c r="I24" s="4"/>
      <c r="J24" s="54"/>
    </row>
    <row r="25" spans="2:10">
      <c r="B25" s="53"/>
      <c r="C25" s="44" t="s">
        <v>36</v>
      </c>
      <c r="D25" s="4"/>
      <c r="E25" s="71">
        <f>IF(E15="default",0.75*d,E15/100*d)</f>
        <v>1.3125</v>
      </c>
      <c r="F25" s="4" t="s">
        <v>126</v>
      </c>
      <c r="G25" s="4"/>
      <c r="H25" s="4"/>
      <c r="I25" s="4"/>
      <c r="J25" s="54"/>
    </row>
    <row r="26" spans="2:10">
      <c r="B26" s="53"/>
      <c r="C26" s="44" t="s">
        <v>37</v>
      </c>
      <c r="D26" s="4"/>
      <c r="E26" s="71">
        <f>calc!L36</f>
        <v>4.8595359015219231</v>
      </c>
      <c r="F26" s="10" t="s">
        <v>126</v>
      </c>
      <c r="G26" s="4"/>
      <c r="H26" s="4"/>
      <c r="I26" s="4"/>
      <c r="J26" s="54"/>
    </row>
    <row r="27" spans="2:10">
      <c r="B27" s="53"/>
      <c r="C27" s="44" t="s">
        <v>35</v>
      </c>
      <c r="D27" s="4"/>
      <c r="E27" s="70">
        <f>calc!L35</f>
        <v>6.5748114150800907</v>
      </c>
      <c r="F27" s="4" t="s">
        <v>129</v>
      </c>
      <c r="G27" s="4"/>
      <c r="H27" s="4"/>
      <c r="I27" s="4"/>
      <c r="J27" s="54"/>
    </row>
    <row r="28" spans="2:10">
      <c r="B28" s="53"/>
      <c r="C28" s="44" t="s">
        <v>39</v>
      </c>
      <c r="D28" s="4"/>
      <c r="E28" s="49">
        <f>calc!L33*ge</f>
        <v>0.31771684867631506</v>
      </c>
      <c r="F28" s="4" t="s">
        <v>127</v>
      </c>
      <c r="G28" s="4"/>
      <c r="H28" s="4"/>
      <c r="I28" s="4"/>
      <c r="J28" s="54"/>
    </row>
    <row r="29" spans="2:10" ht="15.75" thickBot="1">
      <c r="B29" s="53"/>
      <c r="C29" s="44"/>
      <c r="D29" s="4"/>
      <c r="E29" s="48"/>
      <c r="F29" s="10"/>
      <c r="G29" s="4"/>
      <c r="H29" s="4"/>
      <c r="I29" s="4"/>
      <c r="J29" s="54"/>
    </row>
    <row r="30" spans="2:10" ht="15.75" thickBot="1">
      <c r="B30" s="53"/>
      <c r="C30" s="40" t="s">
        <v>113</v>
      </c>
      <c r="D30" s="4"/>
      <c r="E30" s="4"/>
      <c r="F30" s="4"/>
      <c r="G30" s="4"/>
      <c r="H30" s="4"/>
      <c r="I30" s="4"/>
      <c r="J30" s="54"/>
    </row>
    <row r="31" spans="2:10">
      <c r="B31" s="53"/>
      <c r="C31" s="44" t="s">
        <v>55</v>
      </c>
      <c r="D31" s="4"/>
      <c r="E31" s="48">
        <f>calc!L31</f>
        <v>27.535460218613967</v>
      </c>
      <c r="F31" s="4" t="s">
        <v>127</v>
      </c>
      <c r="G31" s="4"/>
      <c r="H31" s="4"/>
      <c r="I31" s="4"/>
      <c r="J31" s="54"/>
    </row>
    <row r="32" spans="2:10">
      <c r="B32" s="53"/>
      <c r="C32" s="44" t="s">
        <v>57</v>
      </c>
      <c r="D32" s="4"/>
      <c r="E32" s="48">
        <f>E31*calc!L15</f>
        <v>41.303190327920952</v>
      </c>
      <c r="F32" s="4" t="s">
        <v>130</v>
      </c>
      <c r="G32" s="4"/>
      <c r="H32" s="4"/>
      <c r="I32" s="4"/>
      <c r="J32" s="54"/>
    </row>
    <row r="33" spans="2:13">
      <c r="B33" s="53"/>
      <c r="C33" s="44" t="s">
        <v>60</v>
      </c>
      <c r="D33" s="4"/>
      <c r="E33" s="44" t="str">
        <f>VLOOKUP(E32,classtabe,4,TRUE)</f>
        <v>H</v>
      </c>
      <c r="F33" s="4"/>
      <c r="G33" s="4"/>
      <c r="H33" s="4"/>
      <c r="I33" s="4"/>
      <c r="J33" s="54"/>
    </row>
    <row r="34" spans="2:13" ht="15.75" thickBot="1">
      <c r="B34" s="53"/>
      <c r="C34" s="4"/>
      <c r="D34" s="4"/>
      <c r="E34" s="4"/>
      <c r="F34" s="4"/>
      <c r="G34" s="4"/>
      <c r="H34" s="4"/>
      <c r="I34" s="4"/>
      <c r="J34" s="54"/>
    </row>
    <row r="35" spans="2:13" ht="15.75" thickBot="1">
      <c r="B35" s="53"/>
      <c r="C35" s="40" t="s">
        <v>194</v>
      </c>
      <c r="D35" s="4"/>
      <c r="E35" s="4"/>
      <c r="F35" s="4"/>
      <c r="G35" s="4"/>
      <c r="H35" s="4"/>
      <c r="I35" s="4"/>
      <c r="J35" s="54"/>
    </row>
    <row r="36" spans="2:13">
      <c r="B36" s="53"/>
      <c r="C36" s="44" t="s">
        <v>41</v>
      </c>
      <c r="D36" s="4"/>
      <c r="E36" s="49">
        <f>massde+E28</f>
        <v>3.5677168486763149</v>
      </c>
      <c r="F36" s="4" t="s">
        <v>127</v>
      </c>
      <c r="G36" s="4"/>
      <c r="H36" s="4"/>
      <c r="I36" s="4"/>
      <c r="J36" s="54"/>
    </row>
    <row r="37" spans="2:13">
      <c r="B37" s="53"/>
      <c r="C37" s="44" t="s">
        <v>103</v>
      </c>
      <c r="D37" s="4"/>
      <c r="E37" s="48">
        <f>calc!L38</f>
        <v>341.63667821898559</v>
      </c>
      <c r="F37" s="4" t="s">
        <v>132</v>
      </c>
      <c r="G37" s="4"/>
      <c r="H37" s="4"/>
      <c r="I37" s="4"/>
      <c r="J37" s="54"/>
    </row>
    <row r="38" spans="2:13">
      <c r="B38" s="53"/>
      <c r="C38" s="44" t="s">
        <v>104</v>
      </c>
      <c r="D38" s="4"/>
      <c r="E38" s="48">
        <f>calc!L37</f>
        <v>256.22750866423917</v>
      </c>
      <c r="F38" s="4" t="s">
        <v>131</v>
      </c>
      <c r="G38" s="4"/>
      <c r="H38" s="4"/>
      <c r="I38" s="4"/>
      <c r="J38" s="54"/>
      <c r="K38" s="4"/>
      <c r="L38" s="4"/>
      <c r="M38" s="4"/>
    </row>
    <row r="39" spans="2:13" ht="15.75" thickBot="1">
      <c r="B39" s="55"/>
      <c r="C39" s="58" t="str">
        <f>IF(E37&gt;1085,"Warning: Rocket is supersonic, results may be invalid","")</f>
        <v/>
      </c>
      <c r="D39" s="56"/>
      <c r="E39" s="56"/>
      <c r="F39" s="56"/>
      <c r="G39" s="56"/>
      <c r="H39" s="56"/>
      <c r="I39" s="56"/>
      <c r="J39" s="57"/>
      <c r="K39" s="4"/>
      <c r="L39" s="4"/>
      <c r="M39" s="4"/>
    </row>
    <row r="40" spans="2:13" ht="15.75" thickTop="1">
      <c r="B40" s="8"/>
      <c r="C40" s="4"/>
      <c r="D40" s="4"/>
      <c r="E40" s="4"/>
      <c r="F40" s="4"/>
      <c r="G40" s="4"/>
      <c r="H40" s="4"/>
      <c r="I40" s="4"/>
      <c r="J40" s="4"/>
      <c r="K40" s="4"/>
      <c r="L40" s="4"/>
      <c r="M40" s="4"/>
    </row>
    <row r="41" spans="2:13">
      <c r="B41" s="8"/>
      <c r="C41" s="10"/>
    </row>
    <row r="42" spans="2:13">
      <c r="B42" s="8"/>
      <c r="C42" s="10"/>
    </row>
    <row r="43" spans="2:13">
      <c r="B43" s="8"/>
      <c r="C43" s="10"/>
    </row>
  </sheetData>
  <sheetProtection password="C7BC" sheet="1"/>
  <dataValidations count="5">
    <dataValidation type="list" allowBlank="1" showInputMessage="1" showErrorMessage="1" prompt="Select from drop-down list" sqref="E17">
      <formula1>propellant</formula1>
    </dataValidation>
    <dataValidation type="list" allowBlank="1" showInputMessage="1" showErrorMessage="1" prompt="Select from drop-down list" sqref="E16">
      <formula1>group_c</formula1>
    </dataValidation>
    <dataValidation type="list" allowBlank="1" showInputMessage="1" showErrorMessage="1" prompt="Select from drop-down list" sqref="E15">
      <formula1>group_a</formula1>
    </dataValidation>
    <dataValidation type="list" allowBlank="1" showInputMessage="1" showErrorMessage="1" prompt="Select from drop-down list" sqref="E18">
      <formula1>group_b</formula1>
    </dataValidation>
    <dataValidation type="list" allowBlank="1" showInputMessage="1" showErrorMessage="1" prompt="Select from drop-down list" sqref="E10">
      <formula1>group_d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19"/>
  <sheetViews>
    <sheetView showGridLines="0" zoomScale="90" zoomScaleNormal="90" workbookViewId="0">
      <selection activeCell="K29" sqref="K29"/>
    </sheetView>
  </sheetViews>
  <sheetFormatPr defaultRowHeight="15"/>
  <cols>
    <col min="5" max="5" width="9.42578125" customWidth="1"/>
    <col min="6" max="6" width="13.28515625" customWidth="1"/>
  </cols>
  <sheetData>
    <row r="4" spans="2:9">
      <c r="C4" s="123" t="s">
        <v>84</v>
      </c>
      <c r="D4" s="123"/>
      <c r="E4" s="123"/>
      <c r="F4" s="123"/>
    </row>
    <row r="5" spans="2:9">
      <c r="C5" s="32" t="s">
        <v>22</v>
      </c>
      <c r="D5" s="32" t="s">
        <v>23</v>
      </c>
      <c r="E5" s="32" t="s">
        <v>23</v>
      </c>
      <c r="F5" s="32" t="s">
        <v>25</v>
      </c>
    </row>
    <row r="6" spans="2:9">
      <c r="C6" s="36"/>
      <c r="D6" s="35" t="s">
        <v>80</v>
      </c>
      <c r="E6" s="35" t="s">
        <v>81</v>
      </c>
      <c r="F6" s="35" t="s">
        <v>17</v>
      </c>
    </row>
    <row r="7" spans="2:9">
      <c r="C7" s="35"/>
      <c r="D7" s="35" t="s">
        <v>26</v>
      </c>
      <c r="E7" s="35" t="s">
        <v>26</v>
      </c>
      <c r="F7" s="35" t="s">
        <v>27</v>
      </c>
    </row>
    <row r="8" spans="2:9">
      <c r="C8" s="32" t="s">
        <v>28</v>
      </c>
      <c r="D8" s="33">
        <f>0.95*1.841</f>
        <v>1.7489499999999998</v>
      </c>
      <c r="E8" s="34">
        <f t="shared" ref="E8:E13" si="0">D8*2.54^3/454</f>
        <v>6.3128095997356817E-2</v>
      </c>
      <c r="F8" s="32">
        <v>130</v>
      </c>
    </row>
    <row r="9" spans="2:9">
      <c r="C9" s="32" t="s">
        <v>29</v>
      </c>
      <c r="D9" s="33">
        <f>0.95*1.879</f>
        <v>1.78505</v>
      </c>
      <c r="E9" s="34">
        <f t="shared" si="0"/>
        <v>6.443112024933921E-2</v>
      </c>
      <c r="F9" s="32">
        <v>130</v>
      </c>
    </row>
    <row r="10" spans="2:9">
      <c r="C10" s="32" t="s">
        <v>30</v>
      </c>
      <c r="D10" s="33">
        <f>0.95*1.889</f>
        <v>1.7945499999999999</v>
      </c>
      <c r="E10" s="34">
        <f t="shared" si="0"/>
        <v>6.477402136828192E-2</v>
      </c>
      <c r="F10" s="32">
        <v>131</v>
      </c>
    </row>
    <row r="11" spans="2:9">
      <c r="C11" s="32" t="s">
        <v>40</v>
      </c>
      <c r="D11" s="33">
        <f>0.95*1.82</f>
        <v>1.7289999999999999</v>
      </c>
      <c r="E11" s="34">
        <f t="shared" si="0"/>
        <v>6.2408003647577086E-2</v>
      </c>
      <c r="F11" s="32">
        <v>131</v>
      </c>
    </row>
    <row r="12" spans="2:9">
      <c r="C12" s="32" t="s">
        <v>31</v>
      </c>
      <c r="D12" s="33">
        <f>0.95*1.869</f>
        <v>1.77555</v>
      </c>
      <c r="E12" s="34">
        <f t="shared" si="0"/>
        <v>6.4088219130396473E-2</v>
      </c>
      <c r="F12" s="32">
        <v>115</v>
      </c>
    </row>
    <row r="13" spans="2:9">
      <c r="C13" s="32" t="s">
        <v>32</v>
      </c>
      <c r="D13" s="33">
        <f>0.95*1.848</f>
        <v>1.7556</v>
      </c>
      <c r="E13" s="34">
        <f t="shared" si="0"/>
        <v>6.3368126780616735E-2</v>
      </c>
      <c r="F13" s="32">
        <v>115</v>
      </c>
    </row>
    <row r="14" spans="2:9">
      <c r="B14" s="64" t="s">
        <v>86</v>
      </c>
      <c r="C14" s="117" t="s">
        <v>33</v>
      </c>
      <c r="D14" s="118">
        <v>1.75</v>
      </c>
      <c r="E14" s="119">
        <v>6.3E-2</v>
      </c>
      <c r="F14" s="117">
        <v>130</v>
      </c>
      <c r="G14" s="65" t="s">
        <v>85</v>
      </c>
      <c r="H14" s="65"/>
      <c r="I14" s="65"/>
    </row>
    <row r="16" spans="2:9">
      <c r="D16" t="s">
        <v>34</v>
      </c>
    </row>
    <row r="17" spans="3:4">
      <c r="C17" s="8" t="s">
        <v>26</v>
      </c>
      <c r="D17" t="s">
        <v>82</v>
      </c>
    </row>
    <row r="18" spans="3:4">
      <c r="C18" s="8" t="s">
        <v>27</v>
      </c>
      <c r="D18" t="s">
        <v>83</v>
      </c>
    </row>
    <row r="19" spans="3:4">
      <c r="C19" s="8"/>
    </row>
  </sheetData>
  <sheetProtection password="C7BC" sheet="1"/>
  <mergeCells count="1">
    <mergeCell ref="C4:F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2"/>
  <sheetViews>
    <sheetView showGridLines="0" zoomScaleNormal="100" workbookViewId="0">
      <selection activeCell="I26" sqref="I26"/>
    </sheetView>
  </sheetViews>
  <sheetFormatPr defaultRowHeight="15"/>
  <cols>
    <col min="1" max="1" width="6.140625" customWidth="1"/>
    <col min="2" max="2" width="6.42578125" customWidth="1"/>
    <col min="8" max="8" width="12.7109375" bestFit="1" customWidth="1"/>
    <col min="10" max="10" width="9.7109375" customWidth="1"/>
  </cols>
  <sheetData>
    <row r="2" spans="2:11" ht="15.75" thickBot="1">
      <c r="B2" s="4"/>
      <c r="C2" s="4"/>
      <c r="D2" s="4"/>
      <c r="E2" s="4"/>
    </row>
    <row r="3" spans="2:11" ht="15.75" thickBot="1">
      <c r="B3" s="30"/>
      <c r="C3" s="130" t="s">
        <v>61</v>
      </c>
      <c r="D3" s="131"/>
      <c r="E3" s="131"/>
      <c r="F3" s="132"/>
      <c r="H3" s="130" t="s">
        <v>61</v>
      </c>
      <c r="I3" s="131"/>
      <c r="J3" s="131"/>
      <c r="K3" s="132"/>
    </row>
    <row r="4" spans="2:11">
      <c r="C4" s="124" t="s">
        <v>63</v>
      </c>
      <c r="D4" s="125"/>
      <c r="E4" s="126"/>
      <c r="F4" s="31" t="s">
        <v>62</v>
      </c>
      <c r="H4" s="133" t="s">
        <v>63</v>
      </c>
      <c r="I4" s="134"/>
      <c r="J4" s="135"/>
      <c r="K4" s="31" t="s">
        <v>62</v>
      </c>
    </row>
    <row r="5" spans="2:11" ht="15.75" thickBot="1">
      <c r="C5" s="127" t="s">
        <v>79</v>
      </c>
      <c r="D5" s="128"/>
      <c r="E5" s="129"/>
      <c r="F5" s="17"/>
      <c r="H5" s="136" t="s">
        <v>182</v>
      </c>
      <c r="I5" s="137"/>
      <c r="J5" s="138"/>
      <c r="K5" s="17"/>
    </row>
    <row r="6" spans="2:11" ht="15.75" thickTop="1">
      <c r="C6" s="19">
        <v>1.26</v>
      </c>
      <c r="D6" s="20" t="s">
        <v>64</v>
      </c>
      <c r="E6" s="21">
        <v>2.5</v>
      </c>
      <c r="F6" s="18" t="s">
        <v>19</v>
      </c>
      <c r="H6" s="72">
        <f>C6/4.448</f>
        <v>0.28327338129496399</v>
      </c>
      <c r="I6" s="20" t="s">
        <v>64</v>
      </c>
      <c r="J6" s="73">
        <f t="shared" ref="J6:J22" si="0">E6/4.448</f>
        <v>0.56205035971223016</v>
      </c>
      <c r="K6" s="18" t="s">
        <v>19</v>
      </c>
    </row>
    <row r="7" spans="2:11">
      <c r="C7" s="23">
        <v>2.5</v>
      </c>
      <c r="D7" s="24" t="s">
        <v>64</v>
      </c>
      <c r="E7" s="25">
        <v>5</v>
      </c>
      <c r="F7" s="22" t="s">
        <v>20</v>
      </c>
      <c r="H7" s="72">
        <f t="shared" ref="H7:H22" si="1">C7/4.448</f>
        <v>0.56205035971223016</v>
      </c>
      <c r="I7" s="24" t="s">
        <v>64</v>
      </c>
      <c r="J7" s="74">
        <f t="shared" si="0"/>
        <v>1.1241007194244603</v>
      </c>
      <c r="K7" s="22" t="s">
        <v>20</v>
      </c>
    </row>
    <row r="8" spans="2:11">
      <c r="C8" s="23">
        <v>5</v>
      </c>
      <c r="D8" s="24" t="s">
        <v>64</v>
      </c>
      <c r="E8" s="25">
        <v>10</v>
      </c>
      <c r="F8" s="22" t="s">
        <v>21</v>
      </c>
      <c r="H8" s="72">
        <f t="shared" si="1"/>
        <v>1.1241007194244603</v>
      </c>
      <c r="I8" s="24" t="s">
        <v>64</v>
      </c>
      <c r="J8" s="74">
        <f t="shared" si="0"/>
        <v>2.2482014388489207</v>
      </c>
      <c r="K8" s="22" t="s">
        <v>21</v>
      </c>
    </row>
    <row r="9" spans="2:11">
      <c r="C9" s="23">
        <v>10</v>
      </c>
      <c r="D9" s="24" t="s">
        <v>64</v>
      </c>
      <c r="E9" s="25">
        <v>20</v>
      </c>
      <c r="F9" s="22" t="s">
        <v>65</v>
      </c>
      <c r="H9" s="72">
        <f t="shared" si="1"/>
        <v>2.2482014388489207</v>
      </c>
      <c r="I9" s="24" t="s">
        <v>64</v>
      </c>
      <c r="J9" s="74">
        <f t="shared" si="0"/>
        <v>4.4964028776978413</v>
      </c>
      <c r="K9" s="22" t="s">
        <v>65</v>
      </c>
    </row>
    <row r="10" spans="2:11">
      <c r="C10" s="23">
        <v>20</v>
      </c>
      <c r="D10" s="24" t="s">
        <v>64</v>
      </c>
      <c r="E10" s="25">
        <v>40</v>
      </c>
      <c r="F10" s="22" t="s">
        <v>66</v>
      </c>
      <c r="H10" s="72">
        <f t="shared" si="1"/>
        <v>4.4964028776978413</v>
      </c>
      <c r="I10" s="24" t="s">
        <v>64</v>
      </c>
      <c r="J10" s="74">
        <f t="shared" si="0"/>
        <v>8.9928057553956826</v>
      </c>
      <c r="K10" s="22" t="s">
        <v>66</v>
      </c>
    </row>
    <row r="11" spans="2:11">
      <c r="C11" s="23">
        <v>40</v>
      </c>
      <c r="D11" s="24" t="s">
        <v>64</v>
      </c>
      <c r="E11" s="25">
        <v>80</v>
      </c>
      <c r="F11" s="22" t="s">
        <v>67</v>
      </c>
      <c r="H11" s="72">
        <f t="shared" si="1"/>
        <v>8.9928057553956826</v>
      </c>
      <c r="I11" s="24" t="s">
        <v>64</v>
      </c>
      <c r="J11" s="75">
        <f t="shared" si="0"/>
        <v>17.985611510791365</v>
      </c>
      <c r="K11" s="22" t="s">
        <v>67</v>
      </c>
    </row>
    <row r="12" spans="2:11">
      <c r="C12" s="23">
        <v>80</v>
      </c>
      <c r="D12" s="24" t="s">
        <v>64</v>
      </c>
      <c r="E12" s="25">
        <v>160</v>
      </c>
      <c r="F12" s="22" t="s">
        <v>68</v>
      </c>
      <c r="H12" s="78">
        <f t="shared" si="1"/>
        <v>17.985611510791365</v>
      </c>
      <c r="I12" s="24" t="s">
        <v>64</v>
      </c>
      <c r="J12" s="75">
        <f t="shared" si="0"/>
        <v>35.97122302158273</v>
      </c>
      <c r="K12" s="22" t="s">
        <v>68</v>
      </c>
    </row>
    <row r="13" spans="2:11">
      <c r="C13" s="23">
        <v>160</v>
      </c>
      <c r="D13" s="24" t="s">
        <v>64</v>
      </c>
      <c r="E13" s="25">
        <v>320</v>
      </c>
      <c r="F13" s="22" t="s">
        <v>69</v>
      </c>
      <c r="H13" s="78">
        <f t="shared" si="1"/>
        <v>35.97122302158273</v>
      </c>
      <c r="I13" s="24" t="s">
        <v>64</v>
      </c>
      <c r="J13" s="75">
        <f t="shared" si="0"/>
        <v>71.942446043165461</v>
      </c>
      <c r="K13" s="22" t="s">
        <v>69</v>
      </c>
    </row>
    <row r="14" spans="2:11">
      <c r="C14" s="23">
        <v>320</v>
      </c>
      <c r="D14" s="24" t="s">
        <v>64</v>
      </c>
      <c r="E14" s="25">
        <v>640</v>
      </c>
      <c r="F14" s="22" t="s">
        <v>70</v>
      </c>
      <c r="H14" s="78">
        <f t="shared" si="1"/>
        <v>71.942446043165461</v>
      </c>
      <c r="I14" s="24" t="s">
        <v>64</v>
      </c>
      <c r="J14" s="76">
        <f t="shared" si="0"/>
        <v>143.88489208633092</v>
      </c>
      <c r="K14" s="22" t="s">
        <v>70</v>
      </c>
    </row>
    <row r="15" spans="2:11">
      <c r="C15" s="23">
        <v>640</v>
      </c>
      <c r="D15" s="24" t="s">
        <v>64</v>
      </c>
      <c r="E15" s="25">
        <v>1280</v>
      </c>
      <c r="F15" s="22" t="s">
        <v>71</v>
      </c>
      <c r="H15" s="79">
        <f t="shared" si="1"/>
        <v>143.88489208633092</v>
      </c>
      <c r="I15" s="24" t="s">
        <v>64</v>
      </c>
      <c r="J15" s="76">
        <f t="shared" si="0"/>
        <v>287.76978417266184</v>
      </c>
      <c r="K15" s="22" t="s">
        <v>71</v>
      </c>
    </row>
    <row r="16" spans="2:11">
      <c r="C16" s="23">
        <v>1280</v>
      </c>
      <c r="D16" s="24" t="s">
        <v>64</v>
      </c>
      <c r="E16" s="25">
        <v>2560</v>
      </c>
      <c r="F16" s="22" t="s">
        <v>72</v>
      </c>
      <c r="H16" s="79">
        <f t="shared" si="1"/>
        <v>287.76978417266184</v>
      </c>
      <c r="I16" s="24" t="s">
        <v>64</v>
      </c>
      <c r="J16" s="76">
        <f t="shared" si="0"/>
        <v>575.53956834532369</v>
      </c>
      <c r="K16" s="22" t="s">
        <v>72</v>
      </c>
    </row>
    <row r="17" spans="3:11">
      <c r="C17" s="23">
        <v>2560</v>
      </c>
      <c r="D17" s="24" t="s">
        <v>64</v>
      </c>
      <c r="E17" s="25">
        <v>5120</v>
      </c>
      <c r="F17" s="22" t="s">
        <v>73</v>
      </c>
      <c r="H17" s="79">
        <f t="shared" si="1"/>
        <v>575.53956834532369</v>
      </c>
      <c r="I17" s="24" t="s">
        <v>64</v>
      </c>
      <c r="J17" s="76">
        <f t="shared" si="0"/>
        <v>1151.0791366906474</v>
      </c>
      <c r="K17" s="22" t="s">
        <v>73</v>
      </c>
    </row>
    <row r="18" spans="3:11">
      <c r="C18" s="23">
        <v>5120</v>
      </c>
      <c r="D18" s="24" t="s">
        <v>64</v>
      </c>
      <c r="E18" s="25">
        <v>10240</v>
      </c>
      <c r="F18" s="22" t="s">
        <v>74</v>
      </c>
      <c r="H18" s="79">
        <f t="shared" si="1"/>
        <v>1151.0791366906474</v>
      </c>
      <c r="I18" s="24" t="s">
        <v>64</v>
      </c>
      <c r="J18" s="76">
        <f t="shared" si="0"/>
        <v>2302.1582733812947</v>
      </c>
      <c r="K18" s="22" t="s">
        <v>74</v>
      </c>
    </row>
    <row r="19" spans="3:11">
      <c r="C19" s="23">
        <v>10240</v>
      </c>
      <c r="D19" s="24" t="s">
        <v>64</v>
      </c>
      <c r="E19" s="25">
        <v>20480</v>
      </c>
      <c r="F19" s="22" t="s">
        <v>75</v>
      </c>
      <c r="H19" s="79">
        <f t="shared" si="1"/>
        <v>2302.1582733812947</v>
      </c>
      <c r="I19" s="24" t="s">
        <v>64</v>
      </c>
      <c r="J19" s="76">
        <f t="shared" si="0"/>
        <v>4604.3165467625895</v>
      </c>
      <c r="K19" s="22" t="s">
        <v>75</v>
      </c>
    </row>
    <row r="20" spans="3:11">
      <c r="C20" s="23">
        <v>20480</v>
      </c>
      <c r="D20" s="24" t="s">
        <v>64</v>
      </c>
      <c r="E20" s="25">
        <v>40960</v>
      </c>
      <c r="F20" s="22" t="s">
        <v>76</v>
      </c>
      <c r="H20" s="79">
        <f t="shared" si="1"/>
        <v>4604.3165467625895</v>
      </c>
      <c r="I20" s="24" t="s">
        <v>64</v>
      </c>
      <c r="J20" s="76">
        <f t="shared" si="0"/>
        <v>9208.633093525179</v>
      </c>
      <c r="K20" s="22" t="s">
        <v>76</v>
      </c>
    </row>
    <row r="21" spans="3:11">
      <c r="C21" s="23">
        <v>40960</v>
      </c>
      <c r="D21" s="24" t="s">
        <v>64</v>
      </c>
      <c r="E21" s="25">
        <v>81920</v>
      </c>
      <c r="F21" s="22" t="s">
        <v>77</v>
      </c>
      <c r="H21" s="79">
        <f t="shared" si="1"/>
        <v>9208.633093525179</v>
      </c>
      <c r="I21" s="24" t="s">
        <v>64</v>
      </c>
      <c r="J21" s="76">
        <f t="shared" si="0"/>
        <v>18417.266187050358</v>
      </c>
      <c r="K21" s="22" t="s">
        <v>77</v>
      </c>
    </row>
    <row r="22" spans="3:11" ht="15.75" thickBot="1">
      <c r="C22" s="27">
        <v>81920</v>
      </c>
      <c r="D22" s="28" t="s">
        <v>64</v>
      </c>
      <c r="E22" s="29">
        <v>163840</v>
      </c>
      <c r="F22" s="26" t="s">
        <v>78</v>
      </c>
      <c r="H22" s="79">
        <f t="shared" si="1"/>
        <v>18417.266187050358</v>
      </c>
      <c r="I22" s="28" t="s">
        <v>64</v>
      </c>
      <c r="J22" s="77">
        <f t="shared" si="0"/>
        <v>36834.532374100716</v>
      </c>
      <c r="K22" s="26" t="s">
        <v>78</v>
      </c>
    </row>
  </sheetData>
  <sheetProtection password="C7BC" sheet="1"/>
  <mergeCells count="6">
    <mergeCell ref="C4:E4"/>
    <mergeCell ref="C5:E5"/>
    <mergeCell ref="C3:F3"/>
    <mergeCell ref="H3:K3"/>
    <mergeCell ref="H4:J4"/>
    <mergeCell ref="H5:J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6"/>
  <sheetViews>
    <sheetView showGridLines="0" workbookViewId="0">
      <selection activeCell="E18" sqref="E18"/>
    </sheetView>
  </sheetViews>
  <sheetFormatPr defaultRowHeight="15"/>
  <cols>
    <col min="1" max="1" width="5.7109375" customWidth="1"/>
    <col min="3" max="4" width="14.140625" customWidth="1"/>
    <col min="5" max="5" width="43.5703125" customWidth="1"/>
  </cols>
  <sheetData>
    <row r="3" spans="2:9">
      <c r="B3" s="101"/>
      <c r="C3" s="102" t="s">
        <v>183</v>
      </c>
      <c r="D3" s="3"/>
      <c r="E3" s="3"/>
      <c r="F3" s="3"/>
      <c r="G3" s="3"/>
      <c r="H3" s="3"/>
      <c r="I3" s="6"/>
    </row>
    <row r="4" spans="2:9">
      <c r="B4" s="42"/>
      <c r="C4" s="4"/>
      <c r="D4" s="4"/>
      <c r="E4" s="4"/>
      <c r="F4" s="4"/>
      <c r="G4" s="4"/>
      <c r="H4" s="4"/>
      <c r="I4" s="7"/>
    </row>
    <row r="5" spans="2:9">
      <c r="B5" s="103" t="s">
        <v>184</v>
      </c>
      <c r="C5" s="104" t="s">
        <v>185</v>
      </c>
      <c r="D5" s="105" t="s">
        <v>186</v>
      </c>
      <c r="E5" s="104" t="s">
        <v>187</v>
      </c>
      <c r="F5" s="104"/>
      <c r="G5" s="5"/>
      <c r="H5" s="5"/>
      <c r="I5" s="106"/>
    </row>
    <row r="6" spans="2:9">
      <c r="B6" s="107" t="s">
        <v>190</v>
      </c>
      <c r="C6" s="108" t="s">
        <v>191</v>
      </c>
      <c r="D6" s="109" t="s">
        <v>188</v>
      </c>
      <c r="E6" s="109" t="s">
        <v>189</v>
      </c>
      <c r="F6" s="109"/>
      <c r="G6" s="109"/>
      <c r="H6" s="80"/>
      <c r="I6" s="85"/>
    </row>
  </sheetData>
  <sheetProtection password="C7BC" sheet="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O43"/>
  <sheetViews>
    <sheetView showGridLines="0" workbookViewId="0">
      <selection activeCell="L36" sqref="L36"/>
    </sheetView>
  </sheetViews>
  <sheetFormatPr defaultRowHeight="15"/>
  <cols>
    <col min="9" max="9" width="9.28515625" customWidth="1"/>
    <col min="12" max="12" width="9.5703125" bestFit="1" customWidth="1"/>
  </cols>
  <sheetData>
    <row r="3" spans="3:15">
      <c r="H3" s="14" t="s">
        <v>133</v>
      </c>
      <c r="I3" s="14"/>
      <c r="J3" s="14"/>
      <c r="K3" s="14" t="s">
        <v>134</v>
      </c>
    </row>
    <row r="4" spans="3:15">
      <c r="D4" s="14" t="s">
        <v>49</v>
      </c>
    </row>
    <row r="5" spans="3:15">
      <c r="C5" s="8" t="s">
        <v>19</v>
      </c>
      <c r="D5" s="8" t="s">
        <v>20</v>
      </c>
      <c r="E5" s="8" t="s">
        <v>21</v>
      </c>
      <c r="F5" s="8" t="s">
        <v>122</v>
      </c>
      <c r="G5" s="8"/>
      <c r="H5" s="9" t="s">
        <v>46</v>
      </c>
      <c r="I5" s="14"/>
      <c r="J5" s="69"/>
      <c r="K5" s="9" t="s">
        <v>46</v>
      </c>
      <c r="M5" s="8"/>
    </row>
    <row r="6" spans="3:15">
      <c r="C6" s="8" t="s">
        <v>108</v>
      </c>
      <c r="D6" s="8" t="s">
        <v>108</v>
      </c>
      <c r="E6" s="8" t="s">
        <v>108</v>
      </c>
      <c r="F6" s="8" t="s">
        <v>108</v>
      </c>
      <c r="H6" s="8" t="s">
        <v>44</v>
      </c>
      <c r="I6">
        <v>1.049909</v>
      </c>
      <c r="K6" s="8" t="s">
        <v>44</v>
      </c>
      <c r="L6">
        <v>1.049909</v>
      </c>
    </row>
    <row r="7" spans="3:15">
      <c r="C7">
        <v>90</v>
      </c>
      <c r="D7">
        <v>0.5</v>
      </c>
      <c r="E7">
        <v>90</v>
      </c>
      <c r="F7" s="60">
        <v>0.3</v>
      </c>
      <c r="H7" s="8" t="s">
        <v>45</v>
      </c>
      <c r="I7">
        <v>1.719E-3</v>
      </c>
      <c r="K7" s="8" t="s">
        <v>45</v>
      </c>
      <c r="L7">
        <v>1.719E-3</v>
      </c>
    </row>
    <row r="8" spans="3:15">
      <c r="C8">
        <v>85</v>
      </c>
      <c r="D8" s="66">
        <v>1</v>
      </c>
      <c r="E8">
        <v>85</v>
      </c>
      <c r="F8" s="60">
        <v>0.35</v>
      </c>
      <c r="H8" s="8"/>
      <c r="K8" s="8"/>
    </row>
    <row r="9" spans="3:15">
      <c r="C9">
        <v>80</v>
      </c>
      <c r="D9" s="66">
        <v>1.5</v>
      </c>
      <c r="E9">
        <v>80</v>
      </c>
      <c r="F9" s="60">
        <v>0.4</v>
      </c>
      <c r="H9" s="9" t="s">
        <v>50</v>
      </c>
      <c r="K9" s="9" t="s">
        <v>50</v>
      </c>
    </row>
    <row r="10" spans="3:15">
      <c r="C10">
        <v>75</v>
      </c>
      <c r="D10" s="66">
        <v>2</v>
      </c>
      <c r="E10">
        <v>75</v>
      </c>
      <c r="F10" s="60">
        <v>0.45</v>
      </c>
      <c r="H10" s="8" t="s">
        <v>51</v>
      </c>
      <c r="I10" s="15">
        <f>massd+1/2*I33</f>
        <v>9.4723976665860956</v>
      </c>
      <c r="K10" s="8" t="s">
        <v>135</v>
      </c>
      <c r="L10" s="15">
        <f>ispe*ge</f>
        <v>4183.3999999999996</v>
      </c>
      <c r="M10" s="14" t="s">
        <v>136</v>
      </c>
      <c r="N10" s="8"/>
      <c r="O10" s="8"/>
    </row>
    <row r="11" spans="3:15">
      <c r="C11">
        <v>70</v>
      </c>
      <c r="D11" s="66">
        <v>2.5</v>
      </c>
      <c r="E11">
        <v>70</v>
      </c>
      <c r="F11" s="60">
        <v>0.5</v>
      </c>
      <c r="H11" s="8" t="s">
        <v>52</v>
      </c>
      <c r="I11">
        <v>9.8079999999999998</v>
      </c>
      <c r="K11" s="8" t="s">
        <v>52</v>
      </c>
      <c r="L11">
        <v>32.18</v>
      </c>
      <c r="N11" s="8"/>
      <c r="O11" s="8"/>
    </row>
    <row r="12" spans="3:15">
      <c r="C12">
        <v>65</v>
      </c>
      <c r="D12" s="66">
        <v>3</v>
      </c>
      <c r="E12">
        <v>65</v>
      </c>
      <c r="F12" s="8"/>
      <c r="H12" s="8" t="s">
        <v>115</v>
      </c>
      <c r="I12">
        <f>IF(cd="default",0.4,cd)</f>
        <v>0.4</v>
      </c>
      <c r="K12" s="8" t="s">
        <v>115</v>
      </c>
      <c r="L12">
        <f>IF(cde="default",0.4,cde)</f>
        <v>0.4</v>
      </c>
      <c r="N12" s="8"/>
      <c r="O12" s="8"/>
    </row>
    <row r="13" spans="3:15">
      <c r="C13">
        <v>60</v>
      </c>
      <c r="E13">
        <v>60</v>
      </c>
      <c r="F13" s="8"/>
      <c r="H13" s="8" t="s">
        <v>53</v>
      </c>
      <c r="I13">
        <f>I12*(d/10)^2/1000/massd</f>
        <v>6.6976744186046516E-3</v>
      </c>
      <c r="K13" s="8" t="s">
        <v>53</v>
      </c>
      <c r="L13">
        <f>L12*de^2/24353/(massde/ge)</f>
        <v>4.980653149667235E-4</v>
      </c>
      <c r="N13" s="8"/>
      <c r="O13" s="8"/>
    </row>
    <row r="14" spans="3:15">
      <c r="C14">
        <v>55</v>
      </c>
      <c r="F14" s="8"/>
      <c r="H14" s="8" t="s">
        <v>43</v>
      </c>
      <c r="I14" s="15">
        <f>d/10</f>
        <v>12</v>
      </c>
      <c r="K14" s="8" t="s">
        <v>43</v>
      </c>
      <c r="L14" s="15">
        <f>de</f>
        <v>1.75</v>
      </c>
    </row>
    <row r="15" spans="3:15">
      <c r="C15">
        <v>50</v>
      </c>
      <c r="F15" s="8"/>
      <c r="H15" s="8" t="s">
        <v>54</v>
      </c>
      <c r="I15" s="16">
        <f>IF(Metric!E18="default",1,Metric!E18)</f>
        <v>1</v>
      </c>
      <c r="K15" s="8" t="s">
        <v>54</v>
      </c>
      <c r="L15" s="16">
        <f>IF(English!E18="default",1,English!E18)</f>
        <v>1.5</v>
      </c>
    </row>
    <row r="16" spans="3:15">
      <c r="C16">
        <v>45</v>
      </c>
      <c r="H16" s="8" t="s">
        <v>102</v>
      </c>
      <c r="I16">
        <f>VLOOKUP(Metric!E17,Propellants!C8:F14,2,FALSE)*1000</f>
        <v>1785.05</v>
      </c>
      <c r="K16" s="8" t="s">
        <v>102</v>
      </c>
      <c r="L16">
        <f>(VLOOKUP(English!E17,Propellants!C8:F14,3,FALSE))/ge*12^3</f>
        <v>3.459819011524492</v>
      </c>
      <c r="M16" s="14" t="s">
        <v>138</v>
      </c>
    </row>
    <row r="17" spans="3:12">
      <c r="C17">
        <v>40</v>
      </c>
      <c r="H17" s="8" t="s">
        <v>101</v>
      </c>
      <c r="I17">
        <f>IF(Metric!E16="default",0.75,Metric!E16/100)</f>
        <v>0.75</v>
      </c>
      <c r="K17" s="8" t="s">
        <v>101</v>
      </c>
      <c r="L17">
        <f>IF(English!E16="default",0.75,English!E16/100)</f>
        <v>0.75</v>
      </c>
    </row>
    <row r="18" spans="3:12">
      <c r="H18" s="8" t="s">
        <v>100</v>
      </c>
      <c r="I18">
        <f>Metric!E25/1000</f>
        <v>0.09</v>
      </c>
      <c r="K18" s="8" t="s">
        <v>100</v>
      </c>
      <c r="L18" s="16">
        <f>English!E25</f>
        <v>1.3125</v>
      </c>
    </row>
    <row r="20" spans="3:12">
      <c r="H20" s="9" t="s">
        <v>119</v>
      </c>
      <c r="K20" s="9" t="s">
        <v>119</v>
      </c>
    </row>
    <row r="21" spans="3:12">
      <c r="H21" s="8" t="s">
        <v>9</v>
      </c>
      <c r="I21">
        <f>massd</f>
        <v>8.6</v>
      </c>
      <c r="K21" s="8" t="s">
        <v>9</v>
      </c>
      <c r="L21">
        <f>massde/ge</f>
        <v>0.10099440646364201</v>
      </c>
    </row>
    <row r="22" spans="3:12">
      <c r="H22" s="8" t="s">
        <v>48</v>
      </c>
      <c r="I22" s="39">
        <f>tthrust/2/(isp*g)</f>
        <v>3.921445601706613E-4</v>
      </c>
      <c r="K22" s="8" t="s">
        <v>48</v>
      </c>
      <c r="L22" s="39">
        <f>L15/2/L10</f>
        <v>1.7928001147392075E-4</v>
      </c>
    </row>
    <row r="23" spans="3:12">
      <c r="H23" s="8" t="s">
        <v>42</v>
      </c>
      <c r="I23" s="37">
        <f>2*alpha*g*zed2/tthrust^2</f>
        <v>33981.774657599999</v>
      </c>
      <c r="K23" s="8" t="s">
        <v>42</v>
      </c>
      <c r="L23" s="37">
        <f>2*alpha*ge*zed2e/L15^2</f>
        <v>54057.714592000004</v>
      </c>
    </row>
    <row r="24" spans="3:12">
      <c r="H24" s="8" t="s">
        <v>43</v>
      </c>
      <c r="I24">
        <f>g</f>
        <v>9.8079999999999998</v>
      </c>
      <c r="K24" s="8" t="s">
        <v>43</v>
      </c>
      <c r="L24">
        <f>L11</f>
        <v>32.18</v>
      </c>
    </row>
    <row r="25" spans="3:12">
      <c r="H25" s="8" t="s">
        <v>88</v>
      </c>
      <c r="I25" s="38">
        <f>2*beta*I13*g*zed2</f>
        <v>0.3726441483906977</v>
      </c>
      <c r="K25" s="8" t="s">
        <v>88</v>
      </c>
      <c r="L25" s="38">
        <f>2*beta*L13*ge*zed2e</f>
        <v>9.9186077575607504E-2</v>
      </c>
    </row>
    <row r="27" spans="3:12">
      <c r="H27" s="9" t="s">
        <v>47</v>
      </c>
      <c r="K27" s="9" t="s">
        <v>47</v>
      </c>
    </row>
    <row r="28" spans="3:12">
      <c r="H28" s="8" t="s">
        <v>89</v>
      </c>
      <c r="I28">
        <f>1-bnb*bnd-bnb^2*bnc-bne+2*bnb*bnd*bne-bnb^2*bnd^2*bne</f>
        <v>0.62114505126344421</v>
      </c>
      <c r="K28" s="8" t="s">
        <v>89</v>
      </c>
      <c r="L28">
        <f>1-bnbe*bnde-bnbe^2*bnce-bnee+2*bnbe*bnde*bnee-bnbe^2*bnde^2*bnee</f>
        <v>0.89444835864558914</v>
      </c>
    </row>
    <row r="29" spans="3:12">
      <c r="H29" s="8" t="s">
        <v>90</v>
      </c>
      <c r="I29">
        <f>-bna*bnd-2*bna*bnb*bnc+2*bna*bnd*bne-2*bna*bnb*bnd^2*bne</f>
        <v>-250.9296227181668</v>
      </c>
      <c r="K29" s="8" t="s">
        <v>90</v>
      </c>
      <c r="L29">
        <f>-bnae*bnde-2*bnae*bnbe*bnce+2*bnae*bnde*bnee-2*bnae*bnbe*bnde^2*bnee</f>
        <v>-4.5665780283599915</v>
      </c>
    </row>
    <row r="30" spans="3:12">
      <c r="H30" s="8" t="s">
        <v>91</v>
      </c>
      <c r="I30">
        <f>-(bna^2*(bnc+bnd^2*bne))</f>
        <v>-2515943.3124744291</v>
      </c>
      <c r="K30" s="8" t="s">
        <v>91</v>
      </c>
      <c r="L30">
        <f>-(bnae^2*(bnce+bnde^2*bnee))</f>
        <v>-552.42932168273921</v>
      </c>
    </row>
    <row r="31" spans="3:12">
      <c r="H31" s="8" t="s">
        <v>92</v>
      </c>
      <c r="I31" s="37">
        <f>(-I29+SQRT(I29^2-4*I28*I30))/2/I28</f>
        <v>2224.6838416078731</v>
      </c>
      <c r="K31" s="8" t="s">
        <v>92</v>
      </c>
      <c r="L31" s="37">
        <f>(-L29+SQRT(L29^2-4*L28*L30))/2/L28</f>
        <v>27.535460218613967</v>
      </c>
    </row>
    <row r="32" spans="3:12">
      <c r="H32" s="8"/>
      <c r="K32" s="8"/>
    </row>
    <row r="33" spans="8:13">
      <c r="H33" s="8" t="s">
        <v>97</v>
      </c>
      <c r="I33">
        <f>I31*tthrust/isp/g</f>
        <v>1.744795333172193</v>
      </c>
      <c r="K33" s="8" t="s">
        <v>97</v>
      </c>
      <c r="L33">
        <f>L31*L15/L10</f>
        <v>9.8731152478656013E-3</v>
      </c>
      <c r="M33" s="14" t="s">
        <v>137</v>
      </c>
    </row>
    <row r="34" spans="8:13">
      <c r="H34" s="8" t="s">
        <v>51</v>
      </c>
      <c r="I34">
        <f>massd+1/2*I33</f>
        <v>9.4723976665860956</v>
      </c>
      <c r="K34" s="8" t="s">
        <v>51</v>
      </c>
      <c r="L34">
        <f>massde/ge+1/2*L33</f>
        <v>0.10593096408757481</v>
      </c>
      <c r="M34" s="14" t="s">
        <v>137</v>
      </c>
    </row>
    <row r="35" spans="8:13">
      <c r="H35" s="8" t="s">
        <v>98</v>
      </c>
      <c r="I35">
        <f>I33/(Metric!E21*1000)/I17</f>
        <v>1.3032653301380487E-3</v>
      </c>
      <c r="K35" s="8" t="s">
        <v>98</v>
      </c>
      <c r="L35">
        <f>L33*ge/English!E21/L17</f>
        <v>6.5748114150800907</v>
      </c>
      <c r="M35" s="14" t="s">
        <v>139</v>
      </c>
    </row>
    <row r="36" spans="8:13">
      <c r="H36" s="8" t="s">
        <v>99</v>
      </c>
      <c r="I36">
        <f>4*I33/I16/PI()/I18^2/I17</f>
        <v>0.2048603648906285</v>
      </c>
      <c r="K36" s="8" t="s">
        <v>99</v>
      </c>
      <c r="L36">
        <f>4*L33/L16/PI()/(L18/12)^2/L17*12</f>
        <v>4.8595359015219231</v>
      </c>
      <c r="M36" s="14" t="s">
        <v>140</v>
      </c>
    </row>
    <row r="37" spans="8:13">
      <c r="H37" s="8" t="s">
        <v>95</v>
      </c>
      <c r="I37">
        <f>1/2*(I31/I34-g)*tthrust^2</f>
        <v>112.5258166057497</v>
      </c>
      <c r="K37" s="8" t="s">
        <v>95</v>
      </c>
      <c r="L37">
        <f>1/2*(L31/L34-ge)*L15^2</f>
        <v>256.22750866423917</v>
      </c>
    </row>
    <row r="38" spans="8:13">
      <c r="H38" s="8" t="s">
        <v>96</v>
      </c>
      <c r="I38">
        <f>SQRT(2*I37/I34*(I31-I34*g))</f>
        <v>225.05163321149939</v>
      </c>
      <c r="K38" s="8" t="s">
        <v>96</v>
      </c>
      <c r="L38">
        <f>SQRT(2*L37/L34*(L31-L34*ge))</f>
        <v>341.63667821898559</v>
      </c>
    </row>
    <row r="39" spans="8:13">
      <c r="H39" s="8" t="s">
        <v>94</v>
      </c>
      <c r="I39">
        <f>I13*I38^2</f>
        <v>339.22540539569809</v>
      </c>
      <c r="K39" s="8" t="s">
        <v>94</v>
      </c>
      <c r="L39">
        <f>L13*L38^2</f>
        <v>58.132001989272524</v>
      </c>
    </row>
    <row r="40" spans="8:13">
      <c r="H40" s="8" t="s">
        <v>93</v>
      </c>
      <c r="I40">
        <f>1/(alpha+beta*I39)</f>
        <v>0.61235581988924437</v>
      </c>
      <c r="K40" s="8" t="s">
        <v>93</v>
      </c>
      <c r="L40">
        <f>1/(alpha+beta*L39)</f>
        <v>0.86968779692211273</v>
      </c>
    </row>
    <row r="42" spans="8:13">
      <c r="H42" s="8" t="s">
        <v>92</v>
      </c>
      <c r="I42" s="37">
        <f>I34*g*zed2/I40/I37</f>
        <v>2224.6838416078726</v>
      </c>
      <c r="K42" s="8" t="s">
        <v>92</v>
      </c>
      <c r="L42" s="37">
        <f>L34*ge*zed2e/L40/L37</f>
        <v>27.535460218613963</v>
      </c>
    </row>
    <row r="43" spans="8:13">
      <c r="H43" s="8" t="s">
        <v>121</v>
      </c>
      <c r="I43" s="63">
        <f>I42-I31</f>
        <v>0</v>
      </c>
      <c r="J43" s="14" t="s">
        <v>120</v>
      </c>
      <c r="K43" s="8" t="s">
        <v>121</v>
      </c>
      <c r="L43" s="63">
        <f>L42-L31</f>
        <v>0</v>
      </c>
      <c r="M43" s="14" t="s">
        <v>120</v>
      </c>
    </row>
  </sheetData>
  <sheetProtection password="C7BC" sheet="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46</vt:i4>
      </vt:variant>
    </vt:vector>
  </HeadingPairs>
  <TitlesOfParts>
    <vt:vector size="53" baseType="lpstr">
      <vt:lpstr>Introduction</vt:lpstr>
      <vt:lpstr>Metric</vt:lpstr>
      <vt:lpstr>English</vt:lpstr>
      <vt:lpstr>Propellants</vt:lpstr>
      <vt:lpstr>Motor class</vt:lpstr>
      <vt:lpstr>Revisions</vt:lpstr>
      <vt:lpstr>calc</vt:lpstr>
      <vt:lpstr>alpha</vt:lpstr>
      <vt:lpstr>beta</vt:lpstr>
      <vt:lpstr>bna</vt:lpstr>
      <vt:lpstr>bnae</vt:lpstr>
      <vt:lpstr>bnb</vt:lpstr>
      <vt:lpstr>bnbe</vt:lpstr>
      <vt:lpstr>bnc</vt:lpstr>
      <vt:lpstr>bnce</vt:lpstr>
      <vt:lpstr>bnd</vt:lpstr>
      <vt:lpstr>bnde</vt:lpstr>
      <vt:lpstr>bne</vt:lpstr>
      <vt:lpstr>bnee</vt:lpstr>
      <vt:lpstr>English!cd</vt:lpstr>
      <vt:lpstr>cd</vt:lpstr>
      <vt:lpstr>cde</vt:lpstr>
      <vt:lpstr>classtab</vt:lpstr>
      <vt:lpstr>classtabe</vt:lpstr>
      <vt:lpstr>English!d</vt:lpstr>
      <vt:lpstr>d</vt:lpstr>
      <vt:lpstr>de</vt:lpstr>
      <vt:lpstr>dia</vt:lpstr>
      <vt:lpstr>English!f</vt:lpstr>
      <vt:lpstr>f</vt:lpstr>
      <vt:lpstr>g</vt:lpstr>
      <vt:lpstr>ge</vt:lpstr>
      <vt:lpstr>group_a</vt:lpstr>
      <vt:lpstr>group_b</vt:lpstr>
      <vt:lpstr>group_c</vt:lpstr>
      <vt:lpstr>group_d</vt:lpstr>
      <vt:lpstr>English!isp</vt:lpstr>
      <vt:lpstr>isp</vt:lpstr>
      <vt:lpstr>ispe</vt:lpstr>
      <vt:lpstr>English!it</vt:lpstr>
      <vt:lpstr>it</vt:lpstr>
      <vt:lpstr>English!massd</vt:lpstr>
      <vt:lpstr>massd</vt:lpstr>
      <vt:lpstr>massde</vt:lpstr>
      <vt:lpstr>English!mp</vt:lpstr>
      <vt:lpstr>mp</vt:lpstr>
      <vt:lpstr>English!mr</vt:lpstr>
      <vt:lpstr>mr</vt:lpstr>
      <vt:lpstr>propellant</vt:lpstr>
      <vt:lpstr>tthrust</vt:lpstr>
      <vt:lpstr>English!zed2</vt:lpstr>
      <vt:lpstr>zed2</vt:lpstr>
      <vt:lpstr>zed2e</vt:lpstr>
    </vt:vector>
  </TitlesOfParts>
  <Company>The Boeing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vq591d</dc:creator>
  <cp:lastModifiedBy>Cliente</cp:lastModifiedBy>
  <dcterms:created xsi:type="dcterms:W3CDTF">2014-08-19T18:13:50Z</dcterms:created>
  <dcterms:modified xsi:type="dcterms:W3CDTF">2021-01-26T23:04:21Z</dcterms:modified>
</cp:coreProperties>
</file>