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TB\"/>
    </mc:Choice>
  </mc:AlternateContent>
  <bookViews>
    <workbookView xWindow="0" yWindow="0" windowWidth="20490" windowHeight="8310" firstSheet="1" activeTab="2"/>
  </bookViews>
  <sheets>
    <sheet name="Feuil5" sheetId="5" state="hidden" r:id="rId1"/>
    <sheet name="DONNEES" sheetId="1" r:id="rId2"/>
    <sheet name="KPI" sheetId="2" r:id="rId3"/>
    <sheet name="Feuil4" sheetId="4" state="hidden" r:id="rId4"/>
    <sheet name="DASHBOARD" sheetId="3" r:id="rId5"/>
  </sheets>
  <definedNames>
    <definedName name="Segment_Produit">#N/A</definedName>
    <definedName name="Segment_Responsable">#N/A</definedName>
    <definedName name="Segment_Site">#N/A</definedName>
  </definedNames>
  <calcPr calcId="162913"/>
  <pivotCaches>
    <pivotCache cacheId="0" r:id="rId6"/>
    <pivotCache cacheId="1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D5" i="3"/>
  <c r="G10" i="2"/>
  <c r="G8" i="2"/>
  <c r="G2" i="2"/>
  <c r="A5" i="3"/>
  <c r="B2" i="2"/>
  <c r="C5" i="3"/>
  <c r="H7" i="4" l="1"/>
  <c r="H9" i="4" l="1"/>
  <c r="E5" i="3"/>
  <c r="B5" i="3"/>
  <c r="G11" i="2"/>
  <c r="F11" i="2"/>
  <c r="E11" i="2"/>
  <c r="D11" i="2"/>
  <c r="C11" i="2"/>
  <c r="B11" i="2"/>
  <c r="F10" i="2"/>
  <c r="E10" i="2"/>
  <c r="D10" i="2"/>
  <c r="C10" i="2"/>
  <c r="B10" i="2"/>
  <c r="G9" i="2"/>
  <c r="F9" i="2"/>
  <c r="E9" i="2"/>
  <c r="D9" i="2"/>
  <c r="C9" i="2"/>
  <c r="B9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F2" i="2"/>
  <c r="E2" i="2"/>
  <c r="D2" i="2"/>
  <c r="C2" i="2"/>
</calcChain>
</file>

<file path=xl/sharedStrings.xml><?xml version="1.0" encoding="utf-8"?>
<sst xmlns="http://schemas.openxmlformats.org/spreadsheetml/2006/main" count="204" uniqueCount="65">
  <si>
    <t>Mois</t>
  </si>
  <si>
    <t>Site</t>
  </si>
  <si>
    <t>Produit</t>
  </si>
  <si>
    <t>Type FNC</t>
  </si>
  <si>
    <t>Gravité</t>
  </si>
  <si>
    <t>Non-conformités</t>
  </si>
  <si>
    <t>Actions correctives</t>
  </si>
  <si>
    <t>Responsable</t>
  </si>
  <si>
    <t>Inspection réalisée</t>
  </si>
  <si>
    <t>Formations dispensées</t>
  </si>
  <si>
    <t>Janvier</t>
  </si>
  <si>
    <t>Site A</t>
  </si>
  <si>
    <t>Lait</t>
  </si>
  <si>
    <t>Contamination</t>
  </si>
  <si>
    <t>Critique</t>
  </si>
  <si>
    <t>Paul</t>
  </si>
  <si>
    <t>Site B</t>
  </si>
  <si>
    <t>Jus</t>
  </si>
  <si>
    <t>Non-conformité étiq.</t>
  </si>
  <si>
    <t>Majeur</t>
  </si>
  <si>
    <t>Marie</t>
  </si>
  <si>
    <t>Février</t>
  </si>
  <si>
    <t>Mineur</t>
  </si>
  <si>
    <t>Mars</t>
  </si>
  <si>
    <t>Yaourt</t>
  </si>
  <si>
    <t>Avril</t>
  </si>
  <si>
    <t>Mai</t>
  </si>
  <si>
    <t>Juin</t>
  </si>
  <si>
    <t>Juillet</t>
  </si>
  <si>
    <t>Août</t>
  </si>
  <si>
    <t>Septembre</t>
  </si>
  <si>
    <t>Octobre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</si>
  <si>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</si>
  <si>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</si>
  <si>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</si>
  <si>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</si>
  <si>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</si>
  <si>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</si>
  <si>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</si>
  <si>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</si>
  <si>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</si>
  <si>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</si>
  <si>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Nombre total de FNC par mois</t>
  </si>
  <si>
    <t>Nombre total d’actions correctives par mois</t>
  </si>
  <si>
    <t>Taux de traitement des FNC (%)</t>
  </si>
  <si>
    <t>Taux de gravité moyen</t>
  </si>
  <si>
    <t>Nombre d’inspections par mois</t>
  </si>
  <si>
    <t>Taux de couverture formation (%)</t>
  </si>
  <si>
    <t>FNC total</t>
  </si>
  <si>
    <t>Couverture formation</t>
  </si>
  <si>
    <t>Inspections total</t>
  </si>
  <si>
    <t>Étiquettes de lignes</t>
  </si>
  <si>
    <t>Total général</t>
  </si>
  <si>
    <t>Nombre de Type FNC</t>
  </si>
  <si>
    <t>Somme de Taux de gravité moyen</t>
  </si>
  <si>
    <t>Somme de Actions correctives</t>
  </si>
  <si>
    <t>Somme de Formations dispensées</t>
  </si>
  <si>
    <t>vert</t>
  </si>
  <si>
    <t>rouge</t>
  </si>
  <si>
    <t>Jaune</t>
  </si>
  <si>
    <t>aiguille</t>
  </si>
  <si>
    <t>reste</t>
  </si>
  <si>
    <t>vide</t>
  </si>
  <si>
    <t>Indicateur  %traitement FNC moyen</t>
  </si>
  <si>
    <t>% FNC Global traités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</si>
</sst>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Font="1" applyAlignment="1">
      <alignment horizontal="right"/>
    </xf>
    <xf numFmtId="0" fontId="0" fillId="0" borderId="0" xfId="0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Protection="1">
      <protection hidden="1"/>
    </xf>
    <xf numFmtId="0" fontId="5" fillId="2" borderId="0" xfId="0" applyFont="1" applyFill="1" applyProtection="1">
      <protection hidden="1"/>
    </xf>
    <xf numFmtId="0" fontId="5" fillId="2" borderId="0" xfId="0" applyFont="1" applyFill="1" applyAlignme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9" fontId="2" fillId="0" borderId="0" xfId="1" applyFont="1" applyAlignment="1" applyProtection="1">
      <alignment horizontal="center"/>
      <protection hidden="1"/>
    </xf>
    <xf numFmtId="9" fontId="2" fillId="0" borderId="0" xfId="0" applyNumberFormat="1" applyFont="1" applyAlignment="1" applyProtection="1">
      <alignment horizontal="center"/>
      <protection hidden="1"/>
    </xf>
    <xf numFmtId="0" fontId="3" fillId="0" borderId="0" xfId="0" applyFont="1" applyAlignment="1" applyProtection="1">
      <alignment vertical="center"/>
      <protection hidden="1"/>
    </xf>
    <xf numFmtId="164" fontId="3" fillId="0" borderId="0" xfId="1" applyNumberFormat="1" applyFont="1" applyProtection="1">
      <protection hidden="1"/>
    </xf>
    <xf numFmtId="0" fontId="3" fillId="0" borderId="0" xfId="0" applyFont="1" applyProtection="1">
      <protection hidden="1"/>
    </xf>
    <xf numFmtId="9" fontId="3" fillId="0" borderId="0" xfId="1" applyFont="1" applyProtection="1">
      <protection hidden="1"/>
    </xf>
    <xf numFmtId="0" fontId="4" fillId="0" borderId="0" xfId="0" applyFont="1" applyAlignment="1" applyProtection="1">
      <alignment vertical="center"/>
      <protection hidden="1"/>
    </xf>
    <xf numFmtId="9" fontId="4" fillId="0" borderId="0" xfId="1" applyFont="1" applyProtection="1">
      <protection hidden="1"/>
    </xf>
    <xf numFmtId="0" fontId="4" fillId="0" borderId="0" xfId="0" applyFont="1" applyProtection="1">
      <protection hidden="1"/>
    </xf>
  </cellXfs>
  <cellStyles count="2">
    <cellStyle name="Normal" xfId="0" builtinId="0"/>
    <cellStyle name="Pourcentage" xfId="1" builtinId="5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  <protection locked="1" hidden="1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22001.xlsx]Feuil4!Tableau croisé dynamique7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EVOLUTION TAUX DE GRAVITE PAR MOIS</a:t>
            </a:r>
          </a:p>
        </c:rich>
      </c:tx>
      <c:layout>
        <c:manualLayout>
          <c:xMode val="edge"/>
          <c:yMode val="edge"/>
          <c:x val="0.31239407574053241"/>
          <c:y val="0.11401661212101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Feuil4!$B$17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Feuil4!$A$18:$A$28</c:f>
              <c:strCache>
                <c:ptCount val="10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</c:strCache>
            </c:strRef>
          </c:cat>
          <c:val>
            <c:numRef>
              <c:f>Feuil4!$B$18:$B$28</c:f>
              <c:numCache>
                <c:formatCode>General</c:formatCode>
                <c:ptCount val="10"/>
                <c:pt idx="0">
                  <c:v>2.5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1.5</c:v>
                </c:pt>
                <c:pt idx="8">
                  <c:v>2</c:v>
                </c:pt>
                <c:pt idx="9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0-4D96-B811-E6B993BB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312575"/>
        <c:axId val="1716311743"/>
      </c:lineChart>
      <c:catAx>
        <c:axId val="171631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16311743"/>
        <c:crosses val="autoZero"/>
        <c:auto val="1"/>
        <c:lblAlgn val="ctr"/>
        <c:lblOffset val="100"/>
        <c:noMultiLvlLbl val="0"/>
      </c:catAx>
      <c:valAx>
        <c:axId val="171631174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31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22001.xlsx]Feuil4!Tableau croisé dynamique5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NON CONFORMITE PAR 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Feuil4!$A$4:$A$14</c:f>
              <c:strCache>
                <c:ptCount val="10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</c:strCache>
            </c:strRef>
          </c:cat>
          <c:val>
            <c:numRef>
              <c:f>Feuil4!$B$4:$B$14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D-4A98-97D9-3B9699BF5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122543"/>
        <c:axId val="1711119215"/>
      </c:barChart>
      <c:catAx>
        <c:axId val="171112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119215"/>
        <c:crosses val="autoZero"/>
        <c:auto val="1"/>
        <c:lblAlgn val="ctr"/>
        <c:lblOffset val="100"/>
        <c:noMultiLvlLbl val="0"/>
      </c:catAx>
      <c:valAx>
        <c:axId val="1711119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1122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22001.xlsx]Feuil4!Tableau croisé dynamique22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REPARTITION TYPE FNC</a:t>
            </a:r>
          </a:p>
        </c:rich>
      </c:tx>
      <c:layout>
        <c:manualLayout>
          <c:xMode val="edge"/>
          <c:yMode val="edge"/>
          <c:x val="0.37141716566866267"/>
          <c:y val="6.2935681426918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888899366621087"/>
          <c:y val="0.24173059012784692"/>
          <c:w val="0.33503669825702931"/>
          <c:h val="0.60162503880563334"/>
        </c:manualLayout>
      </c:layout>
      <c:pieChart>
        <c:varyColors val="1"/>
        <c:ser>
          <c:idx val="0"/>
          <c:order val="0"/>
          <c:tx>
            <c:strRef>
              <c:f>Feuil4!$E$3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47-4ED2-9E00-0409B18F23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47-4ED2-9E00-0409B18F23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Feuil4!$D$4:$D$6</c:f>
              <c:strCache>
                <c:ptCount val="2"/>
                <c:pt idx="0">
                  <c:v>Contamination</c:v>
                </c:pt>
                <c:pt idx="1">
                  <c:v>Non-conformité étiq.</c:v>
                </c:pt>
              </c:strCache>
            </c:strRef>
          </c:cat>
          <c:val>
            <c:numRef>
              <c:f>Feuil4!$E$4:$E$6</c:f>
              <c:numCache>
                <c:formatCode>General</c:formatCode>
                <c:ptCount val="2"/>
                <c:pt idx="0">
                  <c:v>13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47-4ED2-9E00-0409B18F23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657943954610465"/>
          <c:y val="0.31225467784268901"/>
          <c:w val="0.44346048061357601"/>
          <c:h val="0.47491378093867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 22001.xlsx]Feuil5!Tableau croisé dynamique23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MC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ACTIONS CORRECTIVES VS FORMATIONS DISPENSEES</a:t>
            </a:r>
            <a:r>
              <a:rPr lang="fr-MC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PAR 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Feuil5!$B$3</c:f>
              <c:strCache>
                <c:ptCount val="1"/>
                <c:pt idx="0">
                  <c:v>Somme de Actions correctives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Feuil5!$A$4:$A$14</c:f>
              <c:strCache>
                <c:ptCount val="10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</c:strCache>
            </c:strRef>
          </c:cat>
          <c:val>
            <c:numRef>
              <c:f>Feuil5!$B$4:$B$14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562-A53B-A4A665ADC695}"/>
            </c:ext>
          </c:extLst>
        </c:ser>
        <c:ser>
          <c:idx val="1"/>
          <c:order val="1"/>
          <c:tx>
            <c:strRef>
              <c:f>Feuil5!$C$3</c:f>
              <c:strCache>
                <c:ptCount val="1"/>
                <c:pt idx="0">
                  <c:v>Somme de Formations dispensées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Feuil5!$A$4:$A$14</c:f>
              <c:strCache>
                <c:ptCount val="10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</c:strCache>
            </c:strRef>
          </c:cat>
          <c:val>
            <c:numRef>
              <c:f>Feuil5!$C$4:$C$14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D-4562-A53B-A4A665AD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915775"/>
        <c:axId val="1234917855"/>
      </c:barChart>
      <c:catAx>
        <c:axId val="123491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917855"/>
        <c:crosses val="autoZero"/>
        <c:auto val="1"/>
        <c:lblAlgn val="ctr"/>
        <c:lblOffset val="100"/>
        <c:noMultiLvlLbl val="0"/>
      </c:catAx>
      <c:valAx>
        <c:axId val="12349178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491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fr-MC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%FNC GLOBAL TRAITEES</a:t>
            </a:r>
          </a:p>
        </c:rich>
      </c:tx>
      <c:layout>
        <c:manualLayout>
          <c:xMode val="edge"/>
          <c:yMode val="edge"/>
          <c:x val="0.1589755103450658"/>
          <c:y val="1.5503875968992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573216227244756E-2"/>
          <c:y val="0.16246827884043955"/>
          <c:w val="0.85411595445528732"/>
          <c:h val="0.83753172115956043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9A-4C09-9747-4E9F2F822D0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9A-4C09-9747-4E9F2F822D0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9A-4C09-9747-4E9F2F822D07}"/>
              </c:ext>
            </c:extLst>
          </c:dPt>
          <c:dPt>
            <c:idx val="3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9A-4C09-9747-4E9F2F822D07}"/>
              </c:ext>
            </c:extLst>
          </c:dPt>
          <c:val>
            <c:numRef>
              <c:f>Feuil4!$H$3:$H$6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9A-4C09-9747-4E9F2F82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pieChart>
        <c:varyColors val="1"/>
        <c:ser>
          <c:idx val="1"/>
          <c:order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99A-4C09-9747-4E9F2F822D07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99A-4C09-9747-4E9F2F822D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99A-4C09-9747-4E9F2F822D07}"/>
              </c:ext>
            </c:extLst>
          </c:dPt>
          <c:val>
            <c:numRef>
              <c:f>Feuil4!$H$7:$H$9</c:f>
              <c:numCache>
                <c:formatCode>0%</c:formatCode>
                <c:ptCount val="3"/>
                <c:pt idx="0">
                  <c:v>0.84166666666666656</c:v>
                </c:pt>
                <c:pt idx="1">
                  <c:v>0.02</c:v>
                </c:pt>
                <c:pt idx="2">
                  <c:v>1.1383333333333334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99A-4C09-9747-4E9F2F822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47625</xdr:rowOff>
    </xdr:from>
    <xdr:to>
      <xdr:col>3</xdr:col>
      <xdr:colOff>1276350</xdr:colOff>
      <xdr:row>29</xdr:row>
      <xdr:rowOff>76200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</xdr:row>
      <xdr:rowOff>28575</xdr:rowOff>
    </xdr:from>
    <xdr:to>
      <xdr:col>9</xdr:col>
      <xdr:colOff>542925</xdr:colOff>
      <xdr:row>17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1285876</xdr:colOff>
      <xdr:row>17</xdr:row>
      <xdr:rowOff>9525</xdr:rowOff>
    </xdr:from>
    <xdr:to>
      <xdr:col>7</xdr:col>
      <xdr:colOff>733425</xdr:colOff>
      <xdr:row>29</xdr:row>
      <xdr:rowOff>66674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19050</xdr:rowOff>
    </xdr:from>
    <xdr:to>
      <xdr:col>5</xdr:col>
      <xdr:colOff>19049</xdr:colOff>
      <xdr:row>17</xdr:row>
      <xdr:rowOff>47625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752475</xdr:colOff>
      <xdr:row>17</xdr:row>
      <xdr:rowOff>38100</xdr:rowOff>
    </xdr:from>
    <xdr:to>
      <xdr:col>10</xdr:col>
      <xdr:colOff>295275</xdr:colOff>
      <xdr:row>22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Si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3295650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733425</xdr:colOff>
      <xdr:row>22</xdr:row>
      <xdr:rowOff>28574</xdr:rowOff>
    </xdr:from>
    <xdr:to>
      <xdr:col>10</xdr:col>
      <xdr:colOff>276225</xdr:colOff>
      <xdr:row>28</xdr:row>
      <xdr:rowOff>95249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Produi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i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48700" y="4238624"/>
              <a:ext cx="1828800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314325</xdr:colOff>
      <xdr:row>17</xdr:row>
      <xdr:rowOff>76200</xdr:rowOff>
    </xdr:from>
    <xdr:to>
      <xdr:col>12</xdr:col>
      <xdr:colOff>619125</xdr:colOff>
      <xdr:row>22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Responsabl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spons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15600" y="3333750"/>
              <a:ext cx="18288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MC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9</xdr:col>
      <xdr:colOff>566513</xdr:colOff>
      <xdr:row>3</xdr:row>
      <xdr:rowOff>19048</xdr:rowOff>
    </xdr:from>
    <xdr:to>
      <xdr:col>13</xdr:col>
      <xdr:colOff>133350</xdr:colOff>
      <xdr:row>16</xdr:row>
      <xdr:rowOff>152399</xdr:rowOff>
    </xdr:to>
    <xdr:grpSp>
      <xdr:nvGrpSpPr>
        <xdr:cNvPr id="11" name="Groupe 10"/>
        <xdr:cNvGrpSpPr/>
      </xdr:nvGrpSpPr>
      <xdr:grpSpPr>
        <a:xfrm>
          <a:off x="10005788" y="590548"/>
          <a:ext cx="2614837" cy="2628901"/>
          <a:chOff x="6520175" y="-269636"/>
          <a:chExt cx="1990726" cy="3705746"/>
        </a:xfrm>
      </xdr:grpSpPr>
      <xdr:graphicFrame macro="">
        <xdr:nvGraphicFramePr>
          <xdr:cNvPr id="12" name="Graphique 11"/>
          <xdr:cNvGraphicFramePr>
            <a:graphicFrameLocks/>
          </xdr:cNvGraphicFramePr>
        </xdr:nvGraphicFramePr>
        <xdr:xfrm>
          <a:off x="6520175" y="-269636"/>
          <a:ext cx="1990726" cy="37057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Feuil4!H7">
        <xdr:nvSpPr>
          <xdr:cNvPr id="13" name="ZoneTexte 12"/>
          <xdr:cNvSpPr txBox="1"/>
        </xdr:nvSpPr>
        <xdr:spPr>
          <a:xfrm>
            <a:off x="7024329" y="1937355"/>
            <a:ext cx="1132560" cy="6309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7F26ADF1-CB0F-4634-81AE-D80C87C6AA9F}" type="TxLink">
              <a:rPr lang="en-US" sz="2400" b="1" i="0" u="none" strike="noStrike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pPr algn="ctr"/>
              <a:t>84%</a:t>
            </a:fld>
            <a:endParaRPr lang="fr-MC" sz="60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0</xdr:col>
      <xdr:colOff>9525</xdr:colOff>
      <xdr:row>0</xdr:row>
      <xdr:rowOff>28575</xdr:rowOff>
    </xdr:from>
    <xdr:to>
      <xdr:col>15</xdr:col>
      <xdr:colOff>66675</xdr:colOff>
      <xdr:row>3</xdr:row>
      <xdr:rowOff>0</xdr:rowOff>
    </xdr:to>
    <xdr:sp macro="" textlink="">
      <xdr:nvSpPr>
        <xdr:cNvPr id="3" name="ZoneTexte 2"/>
        <xdr:cNvSpPr txBox="1"/>
      </xdr:nvSpPr>
      <xdr:spPr>
        <a:xfrm>
          <a:off x="9525" y="28575"/>
          <a:ext cx="12868275" cy="542925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MC" sz="28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TABLEAU DE BORD ISO 22001</a:t>
          </a:r>
        </a:p>
      </xdr:txBody>
    </xdr:sp>
    <xdr:clientData/>
  </xdr:twoCellAnchor>
  <xdr:twoCellAnchor editAs="oneCell">
    <xdr:from>
      <xdr:col>3</xdr:col>
      <xdr:colOff>419100</xdr:colOff>
      <xdr:row>0</xdr:row>
      <xdr:rowOff>17819</xdr:rowOff>
    </xdr:from>
    <xdr:to>
      <xdr:col>3</xdr:col>
      <xdr:colOff>942975</xdr:colOff>
      <xdr:row>2</xdr:row>
      <xdr:rowOff>171448</xdr:rowOff>
    </xdr:to>
    <xdr:pic>
      <xdr:nvPicPr>
        <xdr:cNvPr id="2" name="Image 1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81" t="840" r="25035" b="1681"/>
        <a:stretch/>
      </xdr:blipFill>
      <xdr:spPr>
        <a:xfrm>
          <a:off x="3943350" y="17819"/>
          <a:ext cx="523875" cy="53462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0.38021</cdr:x>
      <cdr:y>0.63542</cdr:y>
    </cdr:from>
    <cdr:to>
      <cdr:x>0.68229</cdr:x>
      <cdr:y>0.86806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738313" y="1743075"/>
          <a:ext cx="138112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MC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95.382514236109" createdVersion="6" refreshedVersion="6" minRefreshableVersion="3" recordCount="20">
  <cacheSource type="worksheet">
    <worksheetSource name="Tableau1"/>
  </cacheSource>
  <cacheFields count="10">
    <cacheField name="Mois" numFmtId="0">
      <sharedItems count="10">
        <s v="Janvier"/>
        <s v="Février"/>
        <s v="Mars"/>
        <s v="Avril"/>
        <s v="Mai"/>
        <s v="Juin"/>
        <s v="Juillet"/>
        <s v="Août"/>
        <s v="Septembre"/>
        <s v="Octobre"/>
      </sharedItems>
    </cacheField>
    <cacheField name="Site" numFmtId="0">
      <sharedItems count="2">
        <s v="Site A"/>
        <s v="Site B"/>
      </sharedItems>
    </cacheField>
    <cacheField name="Produit" numFmtId="0">
      <sharedItems count="3">
        <s v="Lait"/>
        <s v="Jus"/>
        <s v="Yaourt"/>
      </sharedItems>
    </cacheField>
    <cacheField name="Type FNC" numFmtId="0">
      <sharedItems count="2">
        <s v="Contamination"/>
        <s v="Non-conformité étiq."/>
      </sharedItems>
    </cacheField>
    <cacheField name="Gravité" numFmtId="0">
      <sharedItems/>
    </cacheField>
    <cacheField name="Non-conformités" numFmtId="0">
      <sharedItems containsSemiMixedTypes="0" containsString="0" containsNumber="1" containsInteger="1" minValue="2" maxValue="6"/>
    </cacheField>
    <cacheField name="Actions correctives" numFmtId="0">
      <sharedItems containsSemiMixedTypes="0" containsString="0" containsNumber="1" containsInteger="1" minValue="2" maxValue="5"/>
    </cacheField>
    <cacheField name="Responsable" numFmtId="0">
      <sharedItems count="2">
        <s v="Paul"/>
        <s v="Marie"/>
      </sharedItems>
    </cacheField>
    <cacheField name="Inspection réalisée" numFmtId="0">
      <sharedItems containsSemiMixedTypes="0" containsString="0" containsNumber="1" containsInteger="1" minValue="1" maxValue="3"/>
    </cacheField>
    <cacheField name="Formations dispensées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5895.385400347222" createdVersion="6" refreshedVersion="6" minRefreshableVersion="3" recordCount="10">
  <cacheSource type="worksheet">
    <worksheetSource name="Tableau2"/>
  </cacheSource>
  <cacheFields count="7">
    <cacheField name="Mois" numFmtId="0">
      <sharedItems count="10">
        <s v="janvier"/>
        <s v="février"/>
        <s v="mars"/>
        <s v="avril"/>
        <s v="mai"/>
        <s v="juin"/>
        <s v="juillet"/>
        <s v="août"/>
        <s v="septembre"/>
        <s v="octobre"/>
      </sharedItems>
    </cacheField>
    <cacheField name="Nombre total de FNC par mois" numFmtId="0">
      <sharedItems containsSemiMixedTypes="0" containsString="0" containsNumber="1" containsInteger="1" minValue="6" maxValue="9"/>
    </cacheField>
    <cacheField name="Nombre total d’actions correctives par mois" numFmtId="0">
      <sharedItems containsSemiMixedTypes="0" containsString="0" containsNumber="1" containsInteger="1" minValue="5" maxValue="8"/>
    </cacheField>
    <cacheField name="Taux de traitement des FNC (%)" numFmtId="9">
      <sharedItems containsSemiMixedTypes="0" containsString="0" containsNumber="1" minValue="0.75" maxValue="0.88888888888888884"/>
    </cacheField>
    <cacheField name="Taux de gravité moyen" numFmtId="0">
      <sharedItems containsSemiMixedTypes="0" containsString="0" containsNumber="1" minValue="1.5" maxValue="2.5"/>
    </cacheField>
    <cacheField name="Nombre d’inspections par mois" numFmtId="0">
      <sharedItems containsSemiMixedTypes="0" containsString="0" containsNumber="1" containsInteger="1" minValue="3" maxValue="5"/>
    </cacheField>
    <cacheField name="Taux de couverture formation (%)" numFmtId="9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s v="Critique"/>
    <n v="5"/>
    <n v="4"/>
    <x v="0"/>
    <n v="2"/>
    <n v="1"/>
  </r>
  <r>
    <x v="0"/>
    <x v="1"/>
    <x v="1"/>
    <x v="1"/>
    <s v="Majeur"/>
    <n v="3"/>
    <n v="2"/>
    <x v="1"/>
    <n v="1"/>
    <n v="1"/>
  </r>
  <r>
    <x v="1"/>
    <x v="0"/>
    <x v="0"/>
    <x v="0"/>
    <s v="Critique"/>
    <n v="4"/>
    <n v="3"/>
    <x v="0"/>
    <n v="2"/>
    <n v="1"/>
  </r>
  <r>
    <x v="1"/>
    <x v="1"/>
    <x v="1"/>
    <x v="1"/>
    <s v="Mineur"/>
    <n v="2"/>
    <n v="2"/>
    <x v="1"/>
    <n v="1"/>
    <n v="0"/>
  </r>
  <r>
    <x v="2"/>
    <x v="0"/>
    <x v="2"/>
    <x v="0"/>
    <s v="Critique"/>
    <n v="6"/>
    <n v="5"/>
    <x v="0"/>
    <n v="3"/>
    <n v="2"/>
  </r>
  <r>
    <x v="2"/>
    <x v="1"/>
    <x v="1"/>
    <x v="1"/>
    <s v="Majeur"/>
    <n v="3"/>
    <n v="3"/>
    <x v="1"/>
    <n v="2"/>
    <n v="1"/>
  </r>
  <r>
    <x v="3"/>
    <x v="0"/>
    <x v="0"/>
    <x v="0"/>
    <s v="Majeur"/>
    <n v="4"/>
    <n v="3"/>
    <x v="0"/>
    <n v="2"/>
    <n v="1"/>
  </r>
  <r>
    <x v="3"/>
    <x v="1"/>
    <x v="2"/>
    <x v="0"/>
    <s v="Critique"/>
    <n v="5"/>
    <n v="4"/>
    <x v="1"/>
    <n v="3"/>
    <n v="2"/>
  </r>
  <r>
    <x v="4"/>
    <x v="0"/>
    <x v="0"/>
    <x v="1"/>
    <s v="Mineur"/>
    <n v="2"/>
    <n v="2"/>
    <x v="0"/>
    <n v="2"/>
    <n v="1"/>
  </r>
  <r>
    <x v="4"/>
    <x v="1"/>
    <x v="1"/>
    <x v="0"/>
    <s v="Majeur"/>
    <n v="4"/>
    <n v="3"/>
    <x v="1"/>
    <n v="2"/>
    <n v="1"/>
  </r>
  <r>
    <x v="5"/>
    <x v="0"/>
    <x v="2"/>
    <x v="0"/>
    <s v="Critique"/>
    <n v="6"/>
    <n v="5"/>
    <x v="0"/>
    <n v="3"/>
    <n v="2"/>
  </r>
  <r>
    <x v="5"/>
    <x v="1"/>
    <x v="1"/>
    <x v="1"/>
    <s v="Mineur"/>
    <n v="2"/>
    <n v="2"/>
    <x v="1"/>
    <n v="1"/>
    <n v="0"/>
  </r>
  <r>
    <x v="6"/>
    <x v="0"/>
    <x v="0"/>
    <x v="0"/>
    <s v="Majeur"/>
    <n v="3"/>
    <n v="3"/>
    <x v="0"/>
    <n v="2"/>
    <n v="1"/>
  </r>
  <r>
    <x v="6"/>
    <x v="1"/>
    <x v="2"/>
    <x v="0"/>
    <s v="Critique"/>
    <n v="5"/>
    <n v="4"/>
    <x v="1"/>
    <n v="3"/>
    <n v="2"/>
  </r>
  <r>
    <x v="7"/>
    <x v="0"/>
    <x v="1"/>
    <x v="1"/>
    <s v="Mineur"/>
    <n v="2"/>
    <n v="2"/>
    <x v="0"/>
    <n v="1"/>
    <n v="0"/>
  </r>
  <r>
    <x v="7"/>
    <x v="1"/>
    <x v="0"/>
    <x v="0"/>
    <s v="Majeur"/>
    <n v="4"/>
    <n v="3"/>
    <x v="1"/>
    <n v="2"/>
    <n v="1"/>
  </r>
  <r>
    <x v="8"/>
    <x v="0"/>
    <x v="2"/>
    <x v="0"/>
    <s v="Critique"/>
    <n v="6"/>
    <n v="5"/>
    <x v="0"/>
    <n v="3"/>
    <n v="2"/>
  </r>
  <r>
    <x v="8"/>
    <x v="1"/>
    <x v="1"/>
    <x v="1"/>
    <s v="Mineur"/>
    <n v="2"/>
    <n v="2"/>
    <x v="1"/>
    <n v="1"/>
    <n v="0"/>
  </r>
  <r>
    <x v="9"/>
    <x v="0"/>
    <x v="0"/>
    <x v="0"/>
    <s v="Majeur"/>
    <n v="3"/>
    <n v="3"/>
    <x v="0"/>
    <n v="2"/>
    <n v="1"/>
  </r>
  <r>
    <x v="9"/>
    <x v="1"/>
    <x v="2"/>
    <x v="0"/>
    <s v="Critique"/>
    <n v="5"/>
    <n v="4"/>
    <x v="1"/>
    <n v="3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8"/>
    <n v="6"/>
    <n v="0.75"/>
    <n v="2.5"/>
    <n v="3"/>
    <n v="1"/>
  </r>
  <r>
    <x v="1"/>
    <n v="6"/>
    <n v="5"/>
    <n v="0.83333333333333337"/>
    <n v="2"/>
    <n v="3"/>
    <n v="0.5"/>
  </r>
  <r>
    <x v="2"/>
    <n v="9"/>
    <n v="8"/>
    <n v="0.88888888888888884"/>
    <n v="2.5"/>
    <n v="5"/>
    <n v="1"/>
  </r>
  <r>
    <x v="3"/>
    <n v="9"/>
    <n v="7"/>
    <n v="0.77777777777777779"/>
    <n v="2.5"/>
    <n v="5"/>
    <n v="1"/>
  </r>
  <r>
    <x v="4"/>
    <n v="6"/>
    <n v="5"/>
    <n v="0.83333333333333337"/>
    <n v="1.5"/>
    <n v="4"/>
    <n v="1"/>
  </r>
  <r>
    <x v="5"/>
    <n v="8"/>
    <n v="7"/>
    <n v="0.875"/>
    <n v="2"/>
    <n v="4"/>
    <n v="0.5"/>
  </r>
  <r>
    <x v="6"/>
    <n v="8"/>
    <n v="7"/>
    <n v="0.875"/>
    <n v="2.5"/>
    <n v="5"/>
    <n v="1"/>
  </r>
  <r>
    <x v="7"/>
    <n v="6"/>
    <n v="5"/>
    <n v="0.83333333333333337"/>
    <n v="1.5"/>
    <n v="3"/>
    <n v="0.5"/>
  </r>
  <r>
    <x v="8"/>
    <n v="8"/>
    <n v="7"/>
    <n v="0.875"/>
    <n v="2"/>
    <n v="4"/>
    <n v="0.5"/>
  </r>
  <r>
    <x v="9"/>
    <n v="8"/>
    <n v="7"/>
    <n v="0.875"/>
    <n v="2.5"/>
    <n v="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3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3:C14" firstHeaderRow="0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Actions correctives" fld="6" baseField="0" baseItem="0"/>
    <dataField name="Somme de Formations dispensées" fld="9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D3:E6" firstHeaderRow="1" firstDataRow="1" firstDataCol="1"/>
  <pivotFields count="10">
    <pivotField showAll="0"/>
    <pivotField showAll="0">
      <items count="3">
        <item x="0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mbre de Type FNC" fld="3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3">
  <location ref="A17:B28" firstHeaderRow="1" firstDataRow="1" firstDataCol="1"/>
  <pivotFields count="7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numFmtId="9" showAll="0"/>
    <pivotField dataField="1" showAll="0"/>
    <pivotField showAll="0"/>
    <pivotField numFmtId="9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Taux de gravité moyen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6">
  <location ref="A3:B14" firstHeaderRow="1" firstDataRow="1" firstDataCol="1"/>
  <pivotFields count="1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mbre de Type FNC" fld="3" subtotal="count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ite" sourceName="Site">
  <pivotTables>
    <pivotTable tabId="4" name="Tableau croisé dynamique22"/>
    <pivotTable tabId="4" name="Tableau croisé dynamique5"/>
    <pivotTable tabId="5" name="Tableau croisé dynamique2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roduit" sourceName="Produit">
  <pivotTables>
    <pivotTable tabId="4" name="Tableau croisé dynamique22"/>
  </pivotTables>
  <data>
    <tabular pivotCacheId="1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sponsable" sourceName="Responsable">
  <pivotTables>
    <pivotTable tabId="4" name="Tableau croisé dynamique22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ite" cache="Segment_Site" caption="Site" rowHeight="241300"/>
  <slicer name="Produit" cache="Segment_Produit" caption="Produit" rowHeight="241300"/>
  <slicer name="Responsable" cache="Segment_Responsable" caption="Responsable" rowHeight="241300"/>
</slicers>
</file>

<file path=xl/tables/table1.xml><?xml version="1.0" encoding="utf-8"?>
<table xmlns="http://schemas.openxmlformats.org/spreadsheetml/2006/main" id="1" name="Tableau1" displayName="Tableau1" ref="A1:J21" totalsRowShown="0" headerRowDxfId="41" dataDxfId="40">
  <autoFilter ref="A1:J21"/>
  <tableColumns count="10">
    <tableColumn id="1" name="Mois" dataDxfId="39"/>
    <tableColumn id="2" name="Site" dataDxfId="38"/>
    <tableColumn id="3" name="Produit" dataDxfId="37"/>
    <tableColumn id="4" name="Type FNC" dataDxfId="36"/>
    <tableColumn id="5" name="Gravité" dataDxfId="35"/>
    <tableColumn id="6" name="Non-conformités" dataDxfId="34"/>
    <tableColumn id="7" name="Actions correctives" dataDxfId="33"/>
    <tableColumn id="8" name="Responsable" dataDxfId="32"/>
    <tableColumn id="9" name="Inspection réalisée" dataDxfId="31"/>
    <tableColumn id="10" name="Formations dispensée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G12" totalsRowCount="1" headerRowDxfId="29">
  <autoFilter ref="A1:G11"/>
  <tableColumns count="7">
    <tableColumn id="1" name="Mois" dataDxfId="28" totalsRowDxfId="27"/>
    <tableColumn id="2" name="Nombre total de FNC par mois" dataDxfId="26" totalsRowDxfId="25"/>
    <tableColumn id="3" name="Nombre total d’actions correctives par mois" dataDxfId="4" totalsRowDxfId="24"/>
    <tableColumn id="4" name="Taux de traitement des FNC (%)" dataDxfId="3" totalsRowDxfId="23" dataCellStyle="Pourcentage"/>
    <tableColumn id="5" name="Taux de gravité moyen" dataDxfId="2" totalsRowDxfId="22"/>
    <tableColumn id="6" name="Nombre d’inspections par mois" dataDxfId="1" totalsRowDxfId="21"/>
    <tableColumn id="7" name="Taux de couverture formation (%)" totalsRowFunction="custom" dataDxfId="0" totalsRowDxfId="20" dataCellStyle="Pourcentage">
      <totalsRowFormula>AVERAGE(Tableau2[Taux de couverture formation (%)])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E5" sqref="E5"/>
    </sheetView>
  </sheetViews>
  <sheetFormatPr baseColWidth="10" defaultRowHeight="15" x14ac:dyDescent="0.25"/>
  <cols>
    <col min="1" max="1" width="21" customWidth="1"/>
    <col min="2" max="2" width="28" bestFit="1" customWidth="1"/>
    <col min="3" max="3" width="31.85546875" bestFit="1" customWidth="1"/>
  </cols>
  <sheetData>
    <row r="3" spans="1:3" x14ac:dyDescent="0.25">
      <c r="A3" s="7" t="s">
        <v>51</v>
      </c>
      <c r="B3" t="s">
        <v>55</v>
      </c>
      <c r="C3" t="s">
        <v>56</v>
      </c>
    </row>
    <row r="4" spans="1:3" x14ac:dyDescent="0.25">
      <c r="A4" s="8" t="s">
        <v>10</v>
      </c>
      <c r="B4" s="9">
        <v>6</v>
      </c>
      <c r="C4" s="9">
        <v>2</v>
      </c>
    </row>
    <row r="5" spans="1:3" x14ac:dyDescent="0.25">
      <c r="A5" s="8" t="s">
        <v>21</v>
      </c>
      <c r="B5" s="9">
        <v>5</v>
      </c>
      <c r="C5" s="9">
        <v>1</v>
      </c>
    </row>
    <row r="6" spans="1:3" x14ac:dyDescent="0.25">
      <c r="A6" s="8" t="s">
        <v>23</v>
      </c>
      <c r="B6" s="9">
        <v>8</v>
      </c>
      <c r="C6" s="9">
        <v>3</v>
      </c>
    </row>
    <row r="7" spans="1:3" x14ac:dyDescent="0.25">
      <c r="A7" s="8" t="s">
        <v>25</v>
      </c>
      <c r="B7" s="9">
        <v>7</v>
      </c>
      <c r="C7" s="9">
        <v>3</v>
      </c>
    </row>
    <row r="8" spans="1:3" x14ac:dyDescent="0.25">
      <c r="A8" s="8" t="s">
        <v>26</v>
      </c>
      <c r="B8" s="9">
        <v>5</v>
      </c>
      <c r="C8" s="9">
        <v>2</v>
      </c>
    </row>
    <row r="9" spans="1:3" x14ac:dyDescent="0.25">
      <c r="A9" s="8" t="s">
        <v>27</v>
      </c>
      <c r="B9" s="9">
        <v>7</v>
      </c>
      <c r="C9" s="9">
        <v>2</v>
      </c>
    </row>
    <row r="10" spans="1:3" x14ac:dyDescent="0.25">
      <c r="A10" s="8" t="s">
        <v>28</v>
      </c>
      <c r="B10" s="9">
        <v>7</v>
      </c>
      <c r="C10" s="9">
        <v>3</v>
      </c>
    </row>
    <row r="11" spans="1:3" x14ac:dyDescent="0.25">
      <c r="A11" s="8" t="s">
        <v>29</v>
      </c>
      <c r="B11" s="9">
        <v>5</v>
      </c>
      <c r="C11" s="9">
        <v>1</v>
      </c>
    </row>
    <row r="12" spans="1:3" x14ac:dyDescent="0.25">
      <c r="A12" s="8" t="s">
        <v>30</v>
      </c>
      <c r="B12" s="9">
        <v>7</v>
      </c>
      <c r="C12" s="9">
        <v>2</v>
      </c>
    </row>
    <row r="13" spans="1:3" x14ac:dyDescent="0.25">
      <c r="A13" s="8" t="s">
        <v>31</v>
      </c>
      <c r="B13" s="9">
        <v>7</v>
      </c>
      <c r="C13" s="9">
        <v>3</v>
      </c>
    </row>
    <row r="14" spans="1:3" x14ac:dyDescent="0.25">
      <c r="A14" s="8" t="s">
        <v>52</v>
      </c>
      <c r="B14" s="9">
        <v>64</v>
      </c>
      <c r="C14" s="9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D12" sqref="D12"/>
    </sheetView>
  </sheetViews>
  <sheetFormatPr baseColWidth="10" defaultRowHeight="15" x14ac:dyDescent="0.25"/>
  <cols>
    <col min="4" max="4" width="15.42578125" customWidth="1"/>
    <col min="6" max="6" width="19" customWidth="1"/>
    <col min="7" max="7" width="21.42578125" customWidth="1"/>
    <col min="8" max="8" width="19.28515625" customWidth="1"/>
    <col min="9" max="9" width="21.140625" customWidth="1"/>
    <col min="10" max="10" width="26.140625" customWidth="1"/>
  </cols>
  <sheetData>
    <row r="1" spans="1:10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25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>
        <v>5</v>
      </c>
      <c r="G2" s="2">
        <v>4</v>
      </c>
      <c r="H2" s="2" t="s">
        <v>15</v>
      </c>
      <c r="I2" s="2">
        <v>2</v>
      </c>
      <c r="J2" s="2">
        <v>1</v>
      </c>
    </row>
    <row r="3" spans="1:10" ht="15.75" x14ac:dyDescent="0.25">
      <c r="A3" s="2" t="s">
        <v>10</v>
      </c>
      <c r="B3" s="2" t="s">
        <v>16</v>
      </c>
      <c r="C3" s="2" t="s">
        <v>17</v>
      </c>
      <c r="D3" s="2" t="s">
        <v>18</v>
      </c>
      <c r="E3" s="2" t="s">
        <v>19</v>
      </c>
      <c r="F3" s="2">
        <v>3</v>
      </c>
      <c r="G3" s="2">
        <v>2</v>
      </c>
      <c r="H3" s="2" t="s">
        <v>20</v>
      </c>
      <c r="I3" s="2">
        <v>1</v>
      </c>
      <c r="J3" s="2">
        <v>1</v>
      </c>
    </row>
    <row r="4" spans="1:10" ht="15.75" x14ac:dyDescent="0.25">
      <c r="A4" s="2" t="s">
        <v>21</v>
      </c>
      <c r="B4" s="2" t="s">
        <v>11</v>
      </c>
      <c r="C4" s="2" t="s">
        <v>12</v>
      </c>
      <c r="D4" s="2" t="s">
        <v>13</v>
      </c>
      <c r="E4" s="2" t="s">
        <v>14</v>
      </c>
      <c r="F4" s="2">
        <v>4</v>
      </c>
      <c r="G4" s="2">
        <v>3</v>
      </c>
      <c r="H4" s="2" t="s">
        <v>15</v>
      </c>
      <c r="I4" s="2">
        <v>2</v>
      </c>
      <c r="J4" s="2">
        <v>1</v>
      </c>
    </row>
    <row r="5" spans="1:10" ht="15.75" x14ac:dyDescent="0.25">
      <c r="A5" s="2" t="s">
        <v>21</v>
      </c>
      <c r="B5" s="2" t="s">
        <v>16</v>
      </c>
      <c r="C5" s="2" t="s">
        <v>17</v>
      </c>
      <c r="D5" s="2" t="s">
        <v>18</v>
      </c>
      <c r="E5" s="2" t="s">
        <v>22</v>
      </c>
      <c r="F5" s="2">
        <v>2</v>
      </c>
      <c r="G5" s="2">
        <v>2</v>
      </c>
      <c r="H5" s="2" t="s">
        <v>20</v>
      </c>
      <c r="I5" s="2">
        <v>1</v>
      </c>
      <c r="J5" s="2">
        <v>0</v>
      </c>
    </row>
    <row r="6" spans="1:10" ht="15.75" x14ac:dyDescent="0.25">
      <c r="A6" s="2" t="s">
        <v>23</v>
      </c>
      <c r="B6" s="2" t="s">
        <v>11</v>
      </c>
      <c r="C6" s="2" t="s">
        <v>24</v>
      </c>
      <c r="D6" s="2" t="s">
        <v>13</v>
      </c>
      <c r="E6" s="2" t="s">
        <v>14</v>
      </c>
      <c r="F6" s="2">
        <v>6</v>
      </c>
      <c r="G6" s="2">
        <v>5</v>
      </c>
      <c r="H6" s="2" t="s">
        <v>15</v>
      </c>
      <c r="I6" s="2">
        <v>3</v>
      </c>
      <c r="J6" s="2">
        <v>2</v>
      </c>
    </row>
    <row r="7" spans="1:10" ht="15.75" x14ac:dyDescent="0.25">
      <c r="A7" s="2" t="s">
        <v>23</v>
      </c>
      <c r="B7" s="2" t="s">
        <v>16</v>
      </c>
      <c r="C7" s="2" t="s">
        <v>17</v>
      </c>
      <c r="D7" s="2" t="s">
        <v>18</v>
      </c>
      <c r="E7" s="2" t="s">
        <v>19</v>
      </c>
      <c r="F7" s="2">
        <v>3</v>
      </c>
      <c r="G7" s="2">
        <v>3</v>
      </c>
      <c r="H7" s="2" t="s">
        <v>20</v>
      </c>
      <c r="I7" s="2">
        <v>2</v>
      </c>
      <c r="J7" s="2">
        <v>1</v>
      </c>
    </row>
    <row r="8" spans="1:10" ht="15.75" x14ac:dyDescent="0.25">
      <c r="A8" s="2" t="s">
        <v>25</v>
      </c>
      <c r="B8" s="2" t="s">
        <v>11</v>
      </c>
      <c r="C8" s="2" t="s">
        <v>12</v>
      </c>
      <c r="D8" s="2" t="s">
        <v>13</v>
      </c>
      <c r="E8" s="2" t="s">
        <v>19</v>
      </c>
      <c r="F8" s="2">
        <v>4</v>
      </c>
      <c r="G8" s="2">
        <v>3</v>
      </c>
      <c r="H8" s="2" t="s">
        <v>15</v>
      </c>
      <c r="I8" s="2">
        <v>2</v>
      </c>
      <c r="J8" s="2">
        <v>1</v>
      </c>
    </row>
    <row r="9" spans="1:10" ht="15.75" x14ac:dyDescent="0.25">
      <c r="A9" s="2" t="s">
        <v>25</v>
      </c>
      <c r="B9" s="2" t="s">
        <v>16</v>
      </c>
      <c r="C9" s="2" t="s">
        <v>24</v>
      </c>
      <c r="D9" s="2" t="s">
        <v>13</v>
      </c>
      <c r="E9" s="2" t="s">
        <v>14</v>
      </c>
      <c r="F9" s="2">
        <v>5</v>
      </c>
      <c r="G9" s="2">
        <v>4</v>
      </c>
      <c r="H9" s="2" t="s">
        <v>20</v>
      </c>
      <c r="I9" s="2">
        <v>3</v>
      </c>
      <c r="J9" s="2">
        <v>2</v>
      </c>
    </row>
    <row r="10" spans="1:10" ht="15.75" x14ac:dyDescent="0.25">
      <c r="A10" s="2" t="s">
        <v>26</v>
      </c>
      <c r="B10" s="2" t="s">
        <v>11</v>
      </c>
      <c r="C10" s="2" t="s">
        <v>12</v>
      </c>
      <c r="D10" s="2" t="s">
        <v>18</v>
      </c>
      <c r="E10" s="2" t="s">
        <v>22</v>
      </c>
      <c r="F10" s="2">
        <v>2</v>
      </c>
      <c r="G10" s="2">
        <v>2</v>
      </c>
      <c r="H10" s="2" t="s">
        <v>15</v>
      </c>
      <c r="I10" s="2">
        <v>2</v>
      </c>
      <c r="J10" s="2">
        <v>1</v>
      </c>
    </row>
    <row r="11" spans="1:10" ht="15.75" x14ac:dyDescent="0.25">
      <c r="A11" s="2" t="s">
        <v>26</v>
      </c>
      <c r="B11" s="2" t="s">
        <v>16</v>
      </c>
      <c r="C11" s="2" t="s">
        <v>17</v>
      </c>
      <c r="D11" s="2" t="s">
        <v>13</v>
      </c>
      <c r="E11" s="2" t="s">
        <v>19</v>
      </c>
      <c r="F11" s="2">
        <v>4</v>
      </c>
      <c r="G11" s="2">
        <v>3</v>
      </c>
      <c r="H11" s="2" t="s">
        <v>20</v>
      </c>
      <c r="I11" s="2">
        <v>2</v>
      </c>
      <c r="J11" s="2">
        <v>1</v>
      </c>
    </row>
    <row r="12" spans="1:10" ht="15.75" x14ac:dyDescent="0.25">
      <c r="A12" s="2" t="s">
        <v>27</v>
      </c>
      <c r="B12" s="2" t="s">
        <v>11</v>
      </c>
      <c r="C12" s="2" t="s">
        <v>24</v>
      </c>
      <c r="D12" s="2" t="s">
        <v>13</v>
      </c>
      <c r="E12" s="2" t="s">
        <v>14</v>
      </c>
      <c r="F12" s="2">
        <v>6</v>
      </c>
      <c r="G12" s="2">
        <v>5</v>
      </c>
      <c r="H12" s="2" t="s">
        <v>15</v>
      </c>
      <c r="I12" s="2">
        <v>3</v>
      </c>
      <c r="J12" s="2">
        <v>2</v>
      </c>
    </row>
    <row r="13" spans="1:10" ht="15.75" x14ac:dyDescent="0.25">
      <c r="A13" s="2" t="s">
        <v>27</v>
      </c>
      <c r="B13" s="2" t="s">
        <v>16</v>
      </c>
      <c r="C13" s="2" t="s">
        <v>17</v>
      </c>
      <c r="D13" s="2" t="s">
        <v>18</v>
      </c>
      <c r="E13" s="2" t="s">
        <v>22</v>
      </c>
      <c r="F13" s="2">
        <v>2</v>
      </c>
      <c r="G13" s="2">
        <v>2</v>
      </c>
      <c r="H13" s="2" t="s">
        <v>20</v>
      </c>
      <c r="I13" s="2">
        <v>1</v>
      </c>
      <c r="J13" s="2">
        <v>0</v>
      </c>
    </row>
    <row r="14" spans="1:10" ht="15.75" x14ac:dyDescent="0.25">
      <c r="A14" s="2" t="s">
        <v>28</v>
      </c>
      <c r="B14" s="2" t="s">
        <v>11</v>
      </c>
      <c r="C14" s="2" t="s">
        <v>12</v>
      </c>
      <c r="D14" s="2" t="s">
        <v>13</v>
      </c>
      <c r="E14" s="2" t="s">
        <v>19</v>
      </c>
      <c r="F14" s="2">
        <v>3</v>
      </c>
      <c r="G14" s="2">
        <v>3</v>
      </c>
      <c r="H14" s="2" t="s">
        <v>15</v>
      </c>
      <c r="I14" s="2">
        <v>2</v>
      </c>
      <c r="J14" s="2">
        <v>1</v>
      </c>
    </row>
    <row r="15" spans="1:10" ht="15.75" x14ac:dyDescent="0.25">
      <c r="A15" s="2" t="s">
        <v>28</v>
      </c>
      <c r="B15" s="2" t="s">
        <v>16</v>
      </c>
      <c r="C15" s="2" t="s">
        <v>24</v>
      </c>
      <c r="D15" s="2" t="s">
        <v>13</v>
      </c>
      <c r="E15" s="2" t="s">
        <v>14</v>
      </c>
      <c r="F15" s="2">
        <v>5</v>
      </c>
      <c r="G15" s="2">
        <v>4</v>
      </c>
      <c r="H15" s="2" t="s">
        <v>20</v>
      </c>
      <c r="I15" s="2">
        <v>3</v>
      </c>
      <c r="J15" s="2">
        <v>2</v>
      </c>
    </row>
    <row r="16" spans="1:10" ht="15.75" x14ac:dyDescent="0.25">
      <c r="A16" s="2" t="s">
        <v>29</v>
      </c>
      <c r="B16" s="2" t="s">
        <v>11</v>
      </c>
      <c r="C16" s="2" t="s">
        <v>17</v>
      </c>
      <c r="D16" s="2" t="s">
        <v>18</v>
      </c>
      <c r="E16" s="2" t="s">
        <v>22</v>
      </c>
      <c r="F16" s="2">
        <v>2</v>
      </c>
      <c r="G16" s="2">
        <v>2</v>
      </c>
      <c r="H16" s="2" t="s">
        <v>15</v>
      </c>
      <c r="I16" s="2">
        <v>1</v>
      </c>
      <c r="J16" s="2">
        <v>0</v>
      </c>
    </row>
    <row r="17" spans="1:10" ht="15.75" x14ac:dyDescent="0.25">
      <c r="A17" s="2" t="s">
        <v>29</v>
      </c>
      <c r="B17" s="2" t="s">
        <v>16</v>
      </c>
      <c r="C17" s="2" t="s">
        <v>12</v>
      </c>
      <c r="D17" s="2" t="s">
        <v>13</v>
      </c>
      <c r="E17" s="2" t="s">
        <v>19</v>
      </c>
      <c r="F17" s="2">
        <v>4</v>
      </c>
      <c r="G17" s="2">
        <v>3</v>
      </c>
      <c r="H17" s="2" t="s">
        <v>20</v>
      </c>
      <c r="I17" s="2">
        <v>2</v>
      </c>
      <c r="J17" s="2">
        <v>1</v>
      </c>
    </row>
    <row r="18" spans="1:10" ht="15.75" x14ac:dyDescent="0.25">
      <c r="A18" s="2" t="s">
        <v>30</v>
      </c>
      <c r="B18" s="2" t="s">
        <v>11</v>
      </c>
      <c r="C18" s="2" t="s">
        <v>24</v>
      </c>
      <c r="D18" s="2" t="s">
        <v>13</v>
      </c>
      <c r="E18" s="2" t="s">
        <v>14</v>
      </c>
      <c r="F18" s="2">
        <v>6</v>
      </c>
      <c r="G18" s="2">
        <v>5</v>
      </c>
      <c r="H18" s="2" t="s">
        <v>15</v>
      </c>
      <c r="I18" s="2">
        <v>3</v>
      </c>
      <c r="J18" s="2">
        <v>2</v>
      </c>
    </row>
    <row r="19" spans="1:10" ht="15.75" x14ac:dyDescent="0.25">
      <c r="A19" s="2" t="s">
        <v>30</v>
      </c>
      <c r="B19" s="2" t="s">
        <v>16</v>
      </c>
      <c r="C19" s="2" t="s">
        <v>17</v>
      </c>
      <c r="D19" s="2" t="s">
        <v>18</v>
      </c>
      <c r="E19" s="2" t="s">
        <v>22</v>
      </c>
      <c r="F19" s="2">
        <v>2</v>
      </c>
      <c r="G19" s="2">
        <v>2</v>
      </c>
      <c r="H19" s="2" t="s">
        <v>20</v>
      </c>
      <c r="I19" s="2">
        <v>1</v>
      </c>
      <c r="J19" s="2">
        <v>0</v>
      </c>
    </row>
    <row r="20" spans="1:10" ht="15.75" x14ac:dyDescent="0.25">
      <c r="A20" s="2" t="s">
        <v>31</v>
      </c>
      <c r="B20" s="2" t="s">
        <v>11</v>
      </c>
      <c r="C20" s="2" t="s">
        <v>12</v>
      </c>
      <c r="D20" s="2" t="s">
        <v>13</v>
      </c>
      <c r="E20" s="2" t="s">
        <v>19</v>
      </c>
      <c r="F20" s="2">
        <v>3</v>
      </c>
      <c r="G20" s="2">
        <v>3</v>
      </c>
      <c r="H20" s="2" t="s">
        <v>15</v>
      </c>
      <c r="I20" s="2">
        <v>2</v>
      </c>
      <c r="J20" s="2">
        <v>1</v>
      </c>
    </row>
    <row r="21" spans="1:10" ht="15.75" x14ac:dyDescent="0.25">
      <c r="A21" s="2" t="s">
        <v>31</v>
      </c>
      <c r="B21" s="2" t="s">
        <v>16</v>
      </c>
      <c r="C21" s="2" t="s">
        <v>24</v>
      </c>
      <c r="D21" s="2" t="s">
        <v>13</v>
      </c>
      <c r="E21" s="2" t="s">
        <v>14</v>
      </c>
      <c r="F21" s="2">
        <v>5</v>
      </c>
      <c r="G21" s="2">
        <v>4</v>
      </c>
      <c r="H21" s="2" t="s">
        <v>20</v>
      </c>
      <c r="I21" s="2">
        <v>3</v>
      </c>
      <c r="J21" s="2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workbookViewId="0">
      <selection activeCell="H12" sqref="C2:H12"/>
    </sheetView>
  </sheetViews>
  <sheetFormatPr baseColWidth="10" defaultRowHeight="15" x14ac:dyDescent="0.25"/>
  <cols>
    <col min="2" max="2" width="33.7109375" customWidth="1"/>
    <col min="3" max="3" width="46" customWidth="1"/>
    <col min="4" max="4" width="35.85546875" customWidth="1"/>
    <col min="5" max="5" width="25" customWidth="1"/>
    <col min="6" max="6" width="32.5703125" customWidth="1"/>
    <col min="7" max="7" width="35.7109375" customWidth="1"/>
  </cols>
  <sheetData>
    <row r="1" spans="1:8" ht="15.75" x14ac:dyDescent="0.25">
      <c r="A1" s="5" t="s">
        <v>0</v>
      </c>
      <c r="B1" s="4" t="s">
        <v>42</v>
      </c>
      <c r="C1" s="3" t="s">
        <v>43</v>
      </c>
      <c r="D1" s="3" t="s">
        <v>44</v>
      </c>
      <c r="E1" s="6" t="s">
        <v>45</v>
      </c>
      <c r="F1" s="6" t="s">
        <v>46</v>
      </c>
      <c r="G1" s="6" t="s">
        <v>47</v>
      </c>
    </row>
    <row r="2" spans="1:8" ht="15.75" x14ac:dyDescent="0.25">
      <c r="A2" s="5" t="s">
        <v>32</v>
      </c>
      <c r="B2" s="2">
        <f>SUMIF(DONNEES!A:A,"Janvier",DONNEES!F:F)</f>
        <v>8</v>
      </c>
      <c r="C2" s="23">
        <f>SUMIF(DONNEES!A:A,"Janvier",DONNEES!G:G)</f>
        <v>6</v>
      </c>
      <c r="D2" s="24">
        <f>SUMIF(DONNEES!A:A,"Janvier",DONNEES!G:G)/SUMIF(DONNEES!A:A,"Janvier",DONNEES!F:F)</f>
        <v>0.75</v>
      </c>
      <c r="E2" s="25">
        <f>SUMPRODUCT((DONNEES!A$2:A$21="Janvier")*((DONNEES!E$2:E$21="Critique")*3 + (DONNEES!E$2:E$21="Majeur")*2 + (DONNEES!E$2:E$21="Mineur")*1))/COUNTIF(DONNEES!A$2:A$21,"Janvier")</f>
        <v>2.5</v>
      </c>
      <c r="F2" s="25">
        <f>SUMIF(DONNEES!A:A,"Janvier",DONNEES!I:I)</f>
        <v>3</v>
      </c>
      <c r="G2" s="26">
        <f>SUMPRODUCT((DONNEES!A$2:A$21="Janvier")*(DONNEES!J$2:J$21&gt;0))/COUNTIF(DONNEES!A$2:A$21,"Janvier")</f>
        <v>1</v>
      </c>
      <c r="H2" s="16"/>
    </row>
    <row r="3" spans="1:8" ht="15.75" x14ac:dyDescent="0.25">
      <c r="A3" s="5" t="s">
        <v>33</v>
      </c>
      <c r="B3" s="2">
        <f>SUMIF(DONNEES!A:A,"Février",DONNEES!F:F)</f>
        <v>6</v>
      </c>
      <c r="C3" s="23">
        <f>SUMIF(DONNEES!A:A,"Février",DONNEES!G:G)</f>
        <v>5</v>
      </c>
      <c r="D3" s="24">
        <f>SUMIF(DONNEES!A:A,"Février",DONNEES!G:G)/SUMIF(DONNEES!A:A,"Février",DONNEES!F:F)</f>
        <v>0.83333333333333337</v>
      </c>
      <c r="E3" s="25">
        <f>SUMPRODUCT((DONNEES!A$2:A$21="Février")*((DONNEES!E$2:E$21="Critique")*3 + (DONNEES!E$2:E$21="Majeur")*2 + (DONNEES!E$2:E$21="Mineur")*1))/COUNTIF(DONNEES!A$2:A$21,"Février")</f>
        <v>2</v>
      </c>
      <c r="F3" s="25">
        <f>SUMIF(DONNEES!A:A,"Février",DONNEES!I:I)</f>
        <v>3</v>
      </c>
      <c r="G3" s="26">
        <f>SUMPRODUCT((DONNEES!A$2:A$21="Février")*(DONNEES!J$2:J$21&gt;0))/COUNTIF(DONNEES!A$2:A$21,"Février")</f>
        <v>0.5</v>
      </c>
      <c r="H3" s="16"/>
    </row>
    <row r="4" spans="1:8" ht="15.75" x14ac:dyDescent="0.25">
      <c r="A4" s="5" t="s">
        <v>34</v>
      </c>
      <c r="B4" s="2">
        <f>SUMIF(DONNEES!A:A,"Mars",DONNEES!F:F)</f>
        <v>9</v>
      </c>
      <c r="C4" s="23">
        <f>SUMIF(DONNEES!A:A,"Mars",DONNEES!G:G)</f>
        <v>8</v>
      </c>
      <c r="D4" s="24">
        <f>SUMIF(DONNEES!A:A,"Mars",DONNEES!G:G)/SUMIF(DONNEES!A:A,"Mars",DONNEES!F:F)</f>
        <v>0.88888888888888884</v>
      </c>
      <c r="E4" s="25">
        <f>SUMPRODUCT((DONNEES!A$2:A$21="Mars")*((DONNEES!E$2:E$21="Critique")*3 + (DONNEES!E$2:E$21="Majeur")*2 + (DONNEES!E$2:E$21="Mineur")*1))/COUNTIF(DONNEES!A$2:A$21,"Mars")</f>
        <v>2.5</v>
      </c>
      <c r="F4" s="25">
        <f>SUMIF(DONNEES!A:A,"Mars",DONNEES!I:I)</f>
        <v>5</v>
      </c>
      <c r="G4" s="26">
        <f>SUMPRODUCT((DONNEES!A$2:A$21="Mars")*(DONNEES!J$2:J$21&gt;0))/COUNTIF(DONNEES!A$2:A$21,"Mars")</f>
        <v>1</v>
      </c>
      <c r="H4" s="16"/>
    </row>
    <row r="5" spans="1:8" ht="15.75" x14ac:dyDescent="0.25">
      <c r="A5" s="5" t="s">
        <v>35</v>
      </c>
      <c r="B5" s="2">
        <f>SUMIF(DONNEES!A:A,"Avril",DONNEES!F:F)</f>
        <v>9</v>
      </c>
      <c r="C5" s="23">
        <f>SUMIF(DONNEES!A:A,"Avril",DONNEES!G:G)</f>
        <v>7</v>
      </c>
      <c r="D5" s="24">
        <f>SUMIF(DONNEES!A:A,"Avril",DONNEES!G:G)/SUMIF(DONNEES!A:A,"Avril",DONNEES!F:F)</f>
        <v>0.77777777777777779</v>
      </c>
      <c r="E5" s="25">
        <f>SUMPRODUCT((DONNEES!A$2:A$21="Avril")*((DONNEES!E$2:E$21="Critique")*3 + (DONNEES!E$2:E$21="Majeur")*2 + (DONNEES!E$2:E$21="Mineur")*1))/COUNTIF(DONNEES!A$2:A$21,"Avril")</f>
        <v>2.5</v>
      </c>
      <c r="F5" s="25">
        <f>SUMIF(DONNEES!A:A,"Mars",DONNEES!I:I)</f>
        <v>5</v>
      </c>
      <c r="G5" s="26">
        <f>SUMPRODUCT((DONNEES!A$2:A$21="Avril")*(DONNEES!J$2:J$21&gt;0))/COUNTIF(DONNEES!A$2:A$21,"Avril")</f>
        <v>1</v>
      </c>
      <c r="H5" s="16"/>
    </row>
    <row r="6" spans="1:8" ht="15.75" x14ac:dyDescent="0.25">
      <c r="A6" s="5" t="s">
        <v>36</v>
      </c>
      <c r="B6" s="2">
        <f>SUMIF(DONNEES!A:A,"Mai",DONNEES!F:F)</f>
        <v>6</v>
      </c>
      <c r="C6" s="23">
        <f>SUMIF(DONNEES!A:A,"Mai",DONNEES!G:G)</f>
        <v>5</v>
      </c>
      <c r="D6" s="24">
        <f>SUMIF(DONNEES!A:A,"Mai",DONNEES!G:G)/SUMIF(DONNEES!A:A,"Mai",DONNEES!F:F)</f>
        <v>0.83333333333333337</v>
      </c>
      <c r="E6" s="25">
        <f>SUMPRODUCT((DONNEES!A$2:A$21="Mai")*((DONNEES!E$2:E$21="Critique")*3 + (DONNEES!E$2:E$21="Majeur")*2 + (DONNEES!E$2:E$21="Mineur")*1))/COUNTIF(DONNEES!A$2:A$21,"Mai")</f>
        <v>1.5</v>
      </c>
      <c r="F6" s="25">
        <f>SUMIF(DONNEES!A:A,"Mai",DONNEES!I:I)</f>
        <v>4</v>
      </c>
      <c r="G6" s="26">
        <f>SUMPRODUCT((DONNEES!A$2:A$21="Avril")*(DONNEES!J$2:J$21&gt;0))/COUNTIF(DONNEES!A$2:A$21,"Mai")</f>
        <v>1</v>
      </c>
      <c r="H6" s="16"/>
    </row>
    <row r="7" spans="1:8" ht="15.75" x14ac:dyDescent="0.25">
      <c r="A7" s="5" t="s">
        <v>37</v>
      </c>
      <c r="B7" s="2">
        <f>SUMIF(DONNEES!A:A,"Juin",DONNEES!F:F)</f>
        <v>8</v>
      </c>
      <c r="C7" s="23">
        <f>SUMIF(DONNEES!A:A,"Juin",DONNEES!G:G)</f>
        <v>7</v>
      </c>
      <c r="D7" s="24">
        <f>SUMIF(DONNEES!A:A,"Juin",DONNEES!G:G)/SUMIF(DONNEES!A:A,"Juin",DONNEES!F:F)</f>
        <v>0.875</v>
      </c>
      <c r="E7" s="25">
        <f>SUMPRODUCT((DONNEES!A$2:A$21="Juin")*((DONNEES!E$2:E$21="Critique")*3 + (DONNEES!E$2:E$21="Majeur")*2 + (DONNEES!E$2:E$21="Mineur")*1))/COUNTIF(DONNEES!A$2:A$21,"Juin")</f>
        <v>2</v>
      </c>
      <c r="F7" s="25">
        <f>SUMIF(DONNEES!A:A,"Juin",DONNEES!I:I)</f>
        <v>4</v>
      </c>
      <c r="G7" s="26">
        <f>SUMPRODUCT((DONNEES!A$2:A$21="Juin")*(DONNEES!J$2:J$21&gt;0))/COUNTIF(DONNEES!A$2:A$21,"Juin")</f>
        <v>0.5</v>
      </c>
      <c r="H7" s="16"/>
    </row>
    <row r="8" spans="1:8" ht="15.75" x14ac:dyDescent="0.25">
      <c r="A8" s="5" t="s">
        <v>38</v>
      </c>
      <c r="B8" s="2">
        <f>SUMIF(DONNEES!A:A,"Juillet",DONNEES!F:F)</f>
        <v>8</v>
      </c>
      <c r="C8" s="23">
        <f>SUMIF(DONNEES!A:A,"Juillet",DONNEES!G:G)</f>
        <v>7</v>
      </c>
      <c r="D8" s="24">
        <f>SUMIF(DONNEES!A:A,"Juillet",DONNEES!G:G)/SUMIF(DONNEES!A:A,"Juillet",DONNEES!F:F)</f>
        <v>0.875</v>
      </c>
      <c r="E8" s="25">
        <f>SUMPRODUCT((DONNEES!A$2:A$21="Juillet")*((DONNEES!E$2:E$21="Critique")*3 + (DONNEES!E$2:E$21="Majeur")*2 + (DONNEES!E$2:E$21="Mineur")*1))/COUNTIF(DONNEES!A$2:A$21,"Juillet")</f>
        <v>2.5</v>
      </c>
      <c r="F8" s="25">
        <f>SUMIF(DONNEES!A:A,"Juillet",DONNEES!I:I)</f>
        <v>5</v>
      </c>
      <c r="G8" s="26">
        <f>SUMPRODUCT((DONNEES!A$2:A$21="Juillet")*(DONNEES!J$2:J$21&gt;0))/COUNTIF(DONNEES!A$2:A$21,"Juillet")</f>
        <v>1</v>
      </c>
      <c r="H8" s="16"/>
    </row>
    <row r="9" spans="1:8" ht="15.75" x14ac:dyDescent="0.25">
      <c r="A9" s="5" t="s">
        <v>39</v>
      </c>
      <c r="B9" s="2">
        <f>SUMIF(DONNEES!A:A,"Août",DONNEES!F:F)</f>
        <v>6</v>
      </c>
      <c r="C9" s="23">
        <f>SUMIF(DONNEES!A:A,"Août",DONNEES!G:G)</f>
        <v>5</v>
      </c>
      <c r="D9" s="24">
        <f>SUMIF(DONNEES!A:A,"Août",DONNEES!G:G)/SUMIF(DONNEES!A:A,"Août",DONNEES!F:F)</f>
        <v>0.83333333333333337</v>
      </c>
      <c r="E9" s="25">
        <f>SUMPRODUCT((DONNEES!A$2:A$21="Août")*((DONNEES!E$2:E$21="Critique")*3 + (DONNEES!E$2:E$21="Majeur")*2 + (DONNEES!E$2:E$21="Mineur")*1))/COUNTIF(DONNEES!A$2:A$21,"Août")</f>
        <v>1.5</v>
      </c>
      <c r="F9" s="25">
        <f>SUMIF(DONNEES!A:A,"Août",DONNEES!I:I)</f>
        <v>3</v>
      </c>
      <c r="G9" s="26">
        <f>SUMPRODUCT((DONNEES!A$2:A$21="Août")*(DONNEES!J$2:J$21&gt;0))/COUNTIF(DONNEES!A$2:A$21,"Août")</f>
        <v>0.5</v>
      </c>
      <c r="H9" s="16"/>
    </row>
    <row r="10" spans="1:8" ht="15.75" x14ac:dyDescent="0.25">
      <c r="A10" s="5" t="s">
        <v>40</v>
      </c>
      <c r="B10" s="2">
        <f>SUMIF(DONNEES!A:A,"Septembre",DONNEES!F:F)</f>
        <v>8</v>
      </c>
      <c r="C10" s="23">
        <f>SUMIF(DONNEES!A:A,"Septembre",DONNEES!G:G)</f>
        <v>7</v>
      </c>
      <c r="D10" s="24">
        <f>SUMIF(DONNEES!A:A,"Septembre",DONNEES!G:G)/SUMIF(DONNEES!A:A,"Septembre",DONNEES!F:F)</f>
        <v>0.875</v>
      </c>
      <c r="E10" s="25">
        <f>SUMPRODUCT((DONNEES!A$2:A$21="Septembre")*((DONNEES!E$2:E$21="Critique")*3 + (DONNEES!E$2:E$21="Majeur")*2 + (DONNEES!E$2:E$21="Mineur")*1))/COUNTIF(DONNEES!A$2:A$21,"Septembre")</f>
        <v>2</v>
      </c>
      <c r="F10" s="25">
        <f>SUMIF(DONNEES!A:A,"Septembre",DONNEES!I:I)</f>
        <v>4</v>
      </c>
      <c r="G10" s="26">
        <f>SUMPRODUCT((DONNEES!A$2:A$21="Septembre")*(DONNEES!J$2:J$21&gt;0))/COUNTIF(DONNEES!A$2:A$21,"Septembre")</f>
        <v>0.5</v>
      </c>
      <c r="H10" s="16"/>
    </row>
    <row r="11" spans="1:8" ht="15.75" x14ac:dyDescent="0.25">
      <c r="A11" s="5" t="s">
        <v>41</v>
      </c>
      <c r="B11" s="2">
        <f>SUMIF(DONNEES!A:A,"Octobre",DONNEES!F:F)</f>
        <v>8</v>
      </c>
      <c r="C11" s="23">
        <f>SUMIF(DONNEES!A:A,"Octobre",DONNEES!G:G)</f>
        <v>7</v>
      </c>
      <c r="D11" s="24">
        <f>SUMIF(DONNEES!A:A,"Octobre",DONNEES!G:G)/SUMIF(DONNEES!A:A,"Octobre",DONNEES!F:F)</f>
        <v>0.875</v>
      </c>
      <c r="E11" s="25">
        <f>SUMPRODUCT((DONNEES!A$2:A$21="Octobre")*((DONNEES!E$2:E$21="Critique")*3 + (DONNEES!E$2:E$21="Majeur")*2 + (DONNEES!E$2:E$21="Mineur")*1))/COUNTIF(DONNEES!A$2:A$21,"Octobre")</f>
        <v>2.5</v>
      </c>
      <c r="F11" s="25">
        <f>SUMIF(DONNEES!A:A,"Octobre",DONNEES!I:I)</f>
        <v>5</v>
      </c>
      <c r="G11" s="26">
        <f>SUMPRODUCT((DONNEES!A$2:A$21="Octobre")*(DONNEES!J$2:J$21&gt;0))/COUNTIF(DONNEES!A$2:A$21,"Octobre")</f>
        <v>1</v>
      </c>
      <c r="H11" s="16"/>
    </row>
    <row r="12" spans="1:8" ht="15.75" x14ac:dyDescent="0.25">
      <c r="A12" s="14"/>
      <c r="B12" s="15"/>
      <c r="C12" s="27"/>
      <c r="D12" s="28"/>
      <c r="E12" s="29"/>
      <c r="F12" s="29"/>
      <c r="G12" s="28">
        <f>AVERAGE(Tableau2[Taux de couverture formation (%)])</f>
        <v>0.8</v>
      </c>
      <c r="H12" s="16"/>
    </row>
  </sheetData>
  <sheetProtection algorithmName="SHA-512" hashValue="sY/T5MT27klepyj1+apop0r2gZ0ar/O4qKypCuaMctdvjZUC3+RYhl2dvmIvx8X+0xl9uZLGHav07WarDXVQWQ==" saltValue="WySOrnmVMHvP3KIGkEECmg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8"/>
  <sheetViews>
    <sheetView topLeftCell="A7" workbookViewId="0">
      <selection activeCell="I15" sqref="I15"/>
    </sheetView>
  </sheetViews>
  <sheetFormatPr baseColWidth="10" defaultRowHeight="15" x14ac:dyDescent="0.25"/>
  <cols>
    <col min="1" max="1" width="21" bestFit="1" customWidth="1"/>
    <col min="2" max="2" width="19.85546875" customWidth="1"/>
    <col min="4" max="4" width="21" bestFit="1" customWidth="1"/>
    <col min="5" max="5" width="19.85546875" bestFit="1" customWidth="1"/>
    <col min="6" max="6" width="4.42578125" customWidth="1"/>
    <col min="7" max="7" width="21.85546875" customWidth="1"/>
    <col min="8" max="9" width="11.5703125" customWidth="1"/>
  </cols>
  <sheetData>
    <row r="3" spans="1:8" x14ac:dyDescent="0.25">
      <c r="A3" s="7" t="s">
        <v>51</v>
      </c>
      <c r="B3" t="s">
        <v>53</v>
      </c>
      <c r="D3" s="7" t="s">
        <v>51</v>
      </c>
      <c r="E3" t="s">
        <v>53</v>
      </c>
      <c r="G3" t="s">
        <v>57</v>
      </c>
      <c r="H3">
        <v>1</v>
      </c>
    </row>
    <row r="4" spans="1:8" x14ac:dyDescent="0.25">
      <c r="A4" s="8" t="s">
        <v>10</v>
      </c>
      <c r="B4" s="9">
        <v>2</v>
      </c>
      <c r="D4" s="8" t="s">
        <v>13</v>
      </c>
      <c r="E4" s="9">
        <v>13</v>
      </c>
      <c r="G4" t="s">
        <v>59</v>
      </c>
      <c r="H4">
        <v>1</v>
      </c>
    </row>
    <row r="5" spans="1:8" x14ac:dyDescent="0.25">
      <c r="A5" s="8" t="s">
        <v>21</v>
      </c>
      <c r="B5" s="9">
        <v>2</v>
      </c>
      <c r="D5" s="8" t="s">
        <v>18</v>
      </c>
      <c r="E5" s="9">
        <v>7</v>
      </c>
      <c r="G5" t="s">
        <v>58</v>
      </c>
      <c r="H5">
        <v>1</v>
      </c>
    </row>
    <row r="6" spans="1:8" x14ac:dyDescent="0.25">
      <c r="A6" s="8" t="s">
        <v>23</v>
      </c>
      <c r="B6" s="9">
        <v>2</v>
      </c>
      <c r="D6" s="8" t="s">
        <v>52</v>
      </c>
      <c r="E6" s="9">
        <v>20</v>
      </c>
      <c r="G6" t="s">
        <v>62</v>
      </c>
      <c r="H6">
        <v>3</v>
      </c>
    </row>
    <row r="7" spans="1:8" ht="30" customHeight="1" x14ac:dyDescent="0.25">
      <c r="A7" s="8" t="s">
        <v>25</v>
      </c>
      <c r="B7" s="9">
        <v>2</v>
      </c>
      <c r="G7" s="13" t="s">
        <v>63</v>
      </c>
      <c r="H7" s="12">
        <f>AVERAGE(Tableau2[Taux de traitement des FNC (%)])</f>
        <v>0.84166666666666656</v>
      </c>
    </row>
    <row r="8" spans="1:8" x14ac:dyDescent="0.25">
      <c r="A8" s="8" t="s">
        <v>26</v>
      </c>
      <c r="B8" s="9">
        <v>2</v>
      </c>
      <c r="G8" t="s">
        <v>60</v>
      </c>
      <c r="H8" s="11">
        <v>0.02</v>
      </c>
    </row>
    <row r="9" spans="1:8" x14ac:dyDescent="0.25">
      <c r="A9" s="8" t="s">
        <v>27</v>
      </c>
      <c r="B9" s="9">
        <v>2</v>
      </c>
      <c r="G9" t="s">
        <v>61</v>
      </c>
      <c r="H9" s="10">
        <f>2-H7-H8</f>
        <v>1.1383333333333334</v>
      </c>
    </row>
    <row r="10" spans="1:8" x14ac:dyDescent="0.25">
      <c r="A10" s="8" t="s">
        <v>28</v>
      </c>
      <c r="B10" s="9">
        <v>2</v>
      </c>
    </row>
    <row r="11" spans="1:8" x14ac:dyDescent="0.25">
      <c r="A11" s="8" t="s">
        <v>29</v>
      </c>
      <c r="B11" s="9">
        <v>2</v>
      </c>
    </row>
    <row r="12" spans="1:8" x14ac:dyDescent="0.25">
      <c r="A12" s="8" t="s">
        <v>30</v>
      </c>
      <c r="B12" s="9">
        <v>2</v>
      </c>
    </row>
    <row r="13" spans="1:8" x14ac:dyDescent="0.25">
      <c r="A13" s="8" t="s">
        <v>31</v>
      </c>
      <c r="B13" s="9">
        <v>2</v>
      </c>
    </row>
    <row r="14" spans="1:8" x14ac:dyDescent="0.25">
      <c r="A14" s="8" t="s">
        <v>52</v>
      </c>
      <c r="B14" s="9">
        <v>20</v>
      </c>
    </row>
    <row r="17" spans="1:2" x14ac:dyDescent="0.25">
      <c r="A17" s="7" t="s">
        <v>51</v>
      </c>
      <c r="B17" t="s">
        <v>54</v>
      </c>
    </row>
    <row r="18" spans="1:2" x14ac:dyDescent="0.25">
      <c r="A18" s="8" t="s">
        <v>32</v>
      </c>
      <c r="B18" s="9">
        <v>2.5</v>
      </c>
    </row>
    <row r="19" spans="1:2" x14ac:dyDescent="0.25">
      <c r="A19" s="8" t="s">
        <v>33</v>
      </c>
      <c r="B19" s="9">
        <v>2</v>
      </c>
    </row>
    <row r="20" spans="1:2" x14ac:dyDescent="0.25">
      <c r="A20" s="8" t="s">
        <v>34</v>
      </c>
      <c r="B20" s="9">
        <v>2.5</v>
      </c>
    </row>
    <row r="21" spans="1:2" x14ac:dyDescent="0.25">
      <c r="A21" s="8" t="s">
        <v>35</v>
      </c>
      <c r="B21" s="9">
        <v>2.5</v>
      </c>
    </row>
    <row r="22" spans="1:2" x14ac:dyDescent="0.25">
      <c r="A22" s="8" t="s">
        <v>36</v>
      </c>
      <c r="B22" s="9">
        <v>1.5</v>
      </c>
    </row>
    <row r="23" spans="1:2" x14ac:dyDescent="0.25">
      <c r="A23" s="8" t="s">
        <v>37</v>
      </c>
      <c r="B23" s="9">
        <v>2</v>
      </c>
    </row>
    <row r="24" spans="1:2" x14ac:dyDescent="0.25">
      <c r="A24" s="8" t="s">
        <v>38</v>
      </c>
      <c r="B24" s="9">
        <v>2.5</v>
      </c>
    </row>
    <row r="25" spans="1:2" x14ac:dyDescent="0.25">
      <c r="A25" s="8" t="s">
        <v>39</v>
      </c>
      <c r="B25" s="9">
        <v>1.5</v>
      </c>
    </row>
    <row r="26" spans="1:2" x14ac:dyDescent="0.25">
      <c r="A26" s="8" t="s">
        <v>40</v>
      </c>
      <c r="B26" s="9">
        <v>2</v>
      </c>
    </row>
    <row r="27" spans="1:2" x14ac:dyDescent="0.25">
      <c r="A27" s="8" t="s">
        <v>41</v>
      </c>
      <c r="B27" s="9">
        <v>2.5</v>
      </c>
    </row>
    <row r="28" spans="1:2" x14ac:dyDescent="0.25">
      <c r="A28" s="8" t="s">
        <v>52</v>
      </c>
      <c r="B28" s="9">
        <v>21.5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showGridLines="0" topLeftCell="A15" workbookViewId="0">
      <selection activeCell="N28" sqref="A1:N28"/>
    </sheetView>
  </sheetViews>
  <sheetFormatPr baseColWidth="10" defaultRowHeight="15" x14ac:dyDescent="0.25"/>
  <cols>
    <col min="1" max="1" width="9.5703125" customWidth="1"/>
    <col min="2" max="2" width="25.7109375" customWidth="1"/>
    <col min="3" max="3" width="17.5703125" customWidth="1"/>
    <col min="4" max="4" width="22.85546875" customWidth="1"/>
    <col min="5" max="5" width="20.140625" customWidth="1"/>
  </cols>
  <sheetData>
    <row r="1" spans="1:14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1:14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1:14" ht="15.75" x14ac:dyDescent="0.25">
      <c r="A4" s="17" t="s">
        <v>48</v>
      </c>
      <c r="B4" s="18" t="s">
        <v>45</v>
      </c>
      <c r="C4" s="18" t="s">
        <v>50</v>
      </c>
      <c r="D4" s="18" t="s">
        <v>49</v>
      </c>
      <c r="E4" s="18" t="s">
        <v>64</v>
      </c>
      <c r="F4" s="16"/>
      <c r="G4" s="16"/>
      <c r="H4" s="16"/>
      <c r="I4" s="16"/>
      <c r="J4" s="16"/>
      <c r="K4" s="16"/>
      <c r="L4" s="16"/>
      <c r="M4" s="16"/>
      <c r="N4" s="16"/>
    </row>
    <row r="5" spans="1:14" ht="15.75" x14ac:dyDescent="0.25">
      <c r="A5" s="19">
        <f>SUM(Tableau1[Non-conformités])</f>
        <v>76</v>
      </c>
      <c r="B5" s="20">
        <f>AVERAGE(Tableau2[Taux de gravité moyen])</f>
        <v>2.15</v>
      </c>
      <c r="C5" s="19">
        <f>SUM(Tableau2[Nombre d’inspections par mois])</f>
        <v>41</v>
      </c>
      <c r="D5" s="21">
        <f>AVERAGE(Tableau2[Taux de couverture formation (%)])</f>
        <v>0.8</v>
      </c>
      <c r="E5" s="22">
        <f>Feuil4!H7</f>
        <v>0.84166666666666656</v>
      </c>
      <c r="F5" s="16"/>
      <c r="G5" s="16"/>
      <c r="H5" s="16"/>
      <c r="I5" s="16"/>
      <c r="J5" s="16"/>
      <c r="K5" s="16"/>
      <c r="L5" s="16"/>
      <c r="M5" s="16"/>
      <c r="N5" s="16"/>
    </row>
    <row r="6" spans="1:14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1:14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9" spans="1:14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</sheetData>
  <sheetProtection algorithmName="SHA-512" hashValue="2bpXMR0H8qmZ2RNUkR7oylgEoj6wg3lFblUqY7ir4xjNa4S+qXTcn+YZuAHWq0E0awpQJlOieK+YbaSleJqTEA==" saltValue="/lg57HMsnYCfgKWUikvL/A==" spinCount="100000" sheet="1" objects="1" scenarios="1"/>
  <conditionalFormatting sqref="B5">
    <cfRule type="cellIs" dxfId="19" priority="15" operator="greaterThanOrEqual">
      <formula>2.5</formula>
    </cfRule>
    <cfRule type="cellIs" dxfId="18" priority="14" operator="between">
      <formula>1.6</formula>
      <formula>2.4</formula>
    </cfRule>
    <cfRule type="cellIs" dxfId="17" priority="13" operator="lessThanOrEqual">
      <formula>1.5</formula>
    </cfRule>
  </conditionalFormatting>
  <conditionalFormatting sqref="A5">
    <cfRule type="cellIs" dxfId="16" priority="12" operator="lessThanOrEqual">
      <formula>60</formula>
    </cfRule>
    <cfRule type="cellIs" dxfId="15" priority="11" operator="between">
      <formula>61</formula>
      <formula>75</formula>
    </cfRule>
    <cfRule type="cellIs" dxfId="14" priority="10" operator="greaterThan">
      <formula>75</formula>
    </cfRule>
  </conditionalFormatting>
  <conditionalFormatting sqref="C5">
    <cfRule type="cellIs" dxfId="13" priority="9" operator="greaterThanOrEqual">
      <formula>40</formula>
    </cfRule>
    <cfRule type="cellIs" dxfId="12" priority="8" operator="between">
      <formula>30</formula>
      <formula>39</formula>
    </cfRule>
    <cfRule type="cellIs" dxfId="11" priority="7" operator="lessThan">
      <formula>30</formula>
    </cfRule>
  </conditionalFormatting>
  <conditionalFormatting sqref="E5">
    <cfRule type="cellIs" dxfId="10" priority="6" operator="greaterThanOrEqual">
      <formula>0.8</formula>
    </cfRule>
    <cfRule type="cellIs" dxfId="9" priority="5" operator="between">
      <formula>0.5</formula>
      <formula>0.79</formula>
    </cfRule>
    <cfRule type="cellIs" dxfId="8" priority="4" operator="lessThan">
      <formula>0.5</formula>
    </cfRule>
  </conditionalFormatting>
  <conditionalFormatting sqref="D5">
    <cfRule type="cellIs" dxfId="7" priority="3" operator="between">
      <formula>0.6</formula>
      <formula>0.79</formula>
    </cfRule>
    <cfRule type="cellIs" dxfId="6" priority="2" operator="lessThan">
      <formula>0.6</formula>
    </cfRule>
    <cfRule type="cellIs" dxfId="5" priority="1" operator="greaterThanOrEqual">
      <formula>0.8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Feuil5</vt:lpstr>
      <vt:lpstr>DONNEES</vt:lpstr>
      <vt:lpstr>KPI</vt:lpstr>
      <vt:lpstr>Feuil4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2025-08-26T05:54:38Z</dcterms:created>
  <dcterms:modified xsi:type="dcterms:W3CDTF">2025-09-01T06:37:06Z</dcterms:modified>
</cp:coreProperties>
</file>