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TB\"/>
    </mc:Choice>
  </mc:AlternateContent>
  <bookViews>
    <workbookView xWindow="0" yWindow="0" windowWidth="20490" windowHeight="9600" firstSheet="1" activeTab="4"/>
  </bookViews>
  <sheets>
    <sheet name="Feuil7" sheetId="7" state="hidden" r:id="rId1"/>
    <sheet name="DONNEES" sheetId="1" r:id="rId2"/>
    <sheet name="CIBLES" sheetId="3" r:id="rId3"/>
    <sheet name="KPIS" sheetId="4" r:id="rId4"/>
    <sheet name="Dashboard" sheetId="6" r:id="rId5"/>
  </sheets>
  <definedNames>
    <definedName name="Segment_Mois2">#N/A</definedName>
    <definedName name="Segment_Motif_dysfonctionnement">#N/A</definedName>
    <definedName name="Segment_Niveau_gravite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6" l="1"/>
  <c r="D4" i="6"/>
  <c r="C25" i="4"/>
  <c r="C24" i="4"/>
  <c r="L23" i="4"/>
  <c r="K23" i="4"/>
  <c r="G23" i="4"/>
  <c r="F23" i="4"/>
  <c r="C23" i="4"/>
  <c r="L22" i="4"/>
  <c r="K22" i="4"/>
  <c r="G22" i="4"/>
  <c r="F22" i="4"/>
  <c r="C22" i="4"/>
  <c r="L21" i="4"/>
  <c r="K21" i="4"/>
  <c r="G21" i="4"/>
  <c r="F21" i="4"/>
  <c r="C21" i="4"/>
  <c r="L20" i="4"/>
  <c r="K20" i="4"/>
  <c r="G20" i="4"/>
  <c r="F20" i="4"/>
  <c r="C20" i="4"/>
  <c r="L19" i="4"/>
  <c r="K19" i="4"/>
  <c r="G19" i="4"/>
  <c r="F19" i="4"/>
  <c r="C19" i="4"/>
  <c r="L18" i="4"/>
  <c r="K18" i="4"/>
  <c r="G18" i="4"/>
  <c r="F18" i="4"/>
  <c r="C18" i="4"/>
  <c r="L17" i="4"/>
  <c r="K17" i="4"/>
  <c r="G17" i="4"/>
  <c r="F17" i="4"/>
  <c r="C17" i="4"/>
  <c r="L16" i="4"/>
  <c r="K16" i="4"/>
  <c r="G16" i="4"/>
  <c r="F16" i="4"/>
  <c r="C16" i="4"/>
  <c r="L15" i="4"/>
  <c r="K15" i="4"/>
  <c r="G15" i="4"/>
  <c r="F15" i="4"/>
  <c r="C15" i="4"/>
  <c r="L14" i="4"/>
  <c r="K14" i="4"/>
  <c r="G14" i="4"/>
  <c r="F14" i="4"/>
  <c r="C14" i="4"/>
  <c r="L13" i="4"/>
  <c r="K13" i="4"/>
  <c r="G13" i="4"/>
  <c r="F13" i="4"/>
  <c r="L12" i="4"/>
  <c r="K12" i="4"/>
  <c r="G12" i="4"/>
  <c r="F12" i="4"/>
  <c r="H5" i="4"/>
  <c r="H4" i="4"/>
  <c r="H3" i="4"/>
  <c r="D3" i="4"/>
  <c r="A3" i="4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<sst xmlns="http://schemas.openxmlformats.org/spreadsheetml/2006/main" count="378" uniqueCount="130">
  <si>
    <t>N° FNC</t>
  </si>
  <si>
    <t>Mois</t>
  </si>
  <si>
    <t>Cause_profonde</t>
  </si>
  <si>
    <t>FNC001</t>
  </si>
  <si>
    <t>Critique</t>
  </si>
  <si>
    <t>Qualité</t>
  </si>
  <si>
    <t>Processus</t>
  </si>
  <si>
    <t>Oui</t>
  </si>
  <si>
    <t>FNC002</t>
  </si>
  <si>
    <t>Majeur</t>
  </si>
  <si>
    <t>Sécurité</t>
  </si>
  <si>
    <t>Compétence</t>
  </si>
  <si>
    <t>Non</t>
  </si>
  <si>
    <t>FNC003</t>
  </si>
  <si>
    <t>Mineur</t>
  </si>
  <si>
    <t>Hygiène</t>
  </si>
  <si>
    <t>Fournisseur</t>
  </si>
  <si>
    <t>FNC004</t>
  </si>
  <si>
    <t>Environnement</t>
  </si>
  <si>
    <t>FNC005</t>
  </si>
  <si>
    <t>Matériel</t>
  </si>
  <si>
    <t>FNC006</t>
  </si>
  <si>
    <t>FNC007</t>
  </si>
  <si>
    <t>FNC008</t>
  </si>
  <si>
    <t>FNC009</t>
  </si>
  <si>
    <t>FNC010</t>
  </si>
  <si>
    <t>FNC011</t>
  </si>
  <si>
    <t>FNC012</t>
  </si>
  <si>
    <t>FNC013</t>
  </si>
  <si>
    <t>FNC014</t>
  </si>
  <si>
    <t>FNC015</t>
  </si>
  <si>
    <t>FNC016</t>
  </si>
  <si>
    <t>FNC017</t>
  </si>
  <si>
    <t>FNC018</t>
  </si>
  <si>
    <t>FNC019</t>
  </si>
  <si>
    <t>FNC020</t>
  </si>
  <si>
    <t>FNC021</t>
  </si>
  <si>
    <t>FNC022</t>
  </si>
  <si>
    <t>FNC023</t>
  </si>
  <si>
    <t>FNC024</t>
  </si>
  <si>
    <t>FNC025</t>
  </si>
  <si>
    <t>FNC026</t>
  </si>
  <si>
    <t>FNC027</t>
  </si>
  <si>
    <t>FNC028</t>
  </si>
  <si>
    <t>FNC029</t>
  </si>
  <si>
    <t>FNC030</t>
  </si>
  <si>
    <t>FNC031</t>
  </si>
  <si>
    <t>FNC032</t>
  </si>
  <si>
    <t>FNC033</t>
  </si>
  <si>
    <t>FNC034</t>
  </si>
  <si>
    <t>FNC035</t>
  </si>
  <si>
    <t>FNC036</t>
  </si>
  <si>
    <t>FNC037</t>
  </si>
  <si>
    <t>FNC038</t>
  </si>
  <si>
    <t>FNC039</t>
  </si>
  <si>
    <t>FNC040</t>
  </si>
  <si>
    <t>FNC041</t>
  </si>
  <si>
    <t>FNC042</t>
  </si>
  <si>
    <t>FNC043</t>
  </si>
  <si>
    <t>FNC044</t>
  </si>
  <si>
    <t>FNC045</t>
  </si>
  <si>
    <t>FNC046</t>
  </si>
  <si>
    <t>FNC047</t>
  </si>
  <si>
    <t>FNC048</t>
  </si>
  <si>
    <t>FNC049</t>
  </si>
  <si>
    <t>FNC050</t>
  </si>
  <si>
    <t>Motif dysfonctionnement</t>
  </si>
  <si>
    <t>Delai traitement jours</t>
  </si>
  <si>
    <t>Delai imparti jours</t>
  </si>
  <si>
    <t>FNC traitee dans delai</t>
  </si>
  <si>
    <t>Action corrective implementees</t>
  </si>
  <si>
    <t>Action corrective efficace</t>
  </si>
  <si>
    <t>Niveau gravite</t>
  </si>
  <si>
    <t>Étiquettes de lignes</t>
  </si>
  <si>
    <t>Total général</t>
  </si>
  <si>
    <t>KPI</t>
  </si>
  <si>
    <t>Cible</t>
  </si>
  <si>
    <t>Sens</t>
  </si>
  <si>
    <t>% FNC traitées dans le delai</t>
  </si>
  <si>
    <t>% Actions correstives efficaces</t>
  </si>
  <si>
    <t>Nb FNC mineures par mois</t>
  </si>
  <si>
    <t>Nb FNC majeures par mois</t>
  </si>
  <si>
    <t>Nb FNC critiques par mois</t>
  </si>
  <si>
    <t>&gt;=</t>
  </si>
  <si>
    <t>&lt;=</t>
  </si>
  <si>
    <t>% Actions correctives efficaces</t>
  </si>
  <si>
    <t>Statistiques par niveu de gravité</t>
  </si>
  <si>
    <t>critique</t>
  </si>
  <si>
    <t>majeur</t>
  </si>
  <si>
    <t>1️⃣ Statistiques par motif et cause profonde</t>
  </si>
  <si>
    <r>
      <t xml:space="preserve">Pour chaque combinaison </t>
    </r>
    <r>
      <rPr>
        <b/>
        <sz val="11"/>
        <color theme="1"/>
        <rFont val="Calibri"/>
        <family val="2"/>
        <scheme val="minor"/>
      </rPr>
      <t>Motif × Cause</t>
    </r>
    <r>
      <rPr>
        <sz val="11"/>
        <color theme="1"/>
        <rFont val="Calibri"/>
        <family val="2"/>
        <scheme val="minor"/>
      </rPr>
      <t xml:space="preserve"> :</t>
    </r>
  </si>
  <si>
    <t>Motif</t>
  </si>
  <si>
    <t>Cause</t>
  </si>
  <si>
    <t>Formule Excel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</si>
  <si>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</si>
  <si>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</si>
  <si>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</si>
  <si>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</si>
  <si>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</si>
  <si>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</si>
  <si>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</si>
  <si>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</si>
  <si>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</si>
  <si>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</si>
  <si>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</si>
  <si>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</si>
  <si>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2️⃣   FNC traitées dans le délai par mois</t>
  </si>
  <si>
    <t>3️⃣ Actions correctives mises en œuvre et efficaces par mois</t>
  </si>
  <si>
    <t>Implémentées</t>
  </si>
  <si>
    <t>Efficaces</t>
  </si>
  <si>
    <t>Colonne1</t>
  </si>
  <si>
    <t>Nombre de N° FNC</t>
  </si>
  <si>
    <t>Étiquettes de colonnes</t>
  </si>
  <si>
    <t>pourcentage</t>
  </si>
  <si>
    <t>cible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</si>
  <si>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</si>
  <si>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</si>
  <si>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</si>
  <si>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</si>
  <si>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</si>
  <si>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</si>
  <si>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</si>
  <si>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</si>
  <si>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</si>
  <si>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</si>
  <si>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</si>
  <si>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</si>
  <si>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Somme de Action corrective implementees</t>
  </si>
  <si>
    <t>Somme de Action corrective efficace</t>
  </si>
  <si>
    <t>mois2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</si>
</sst>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5" fillId="3" borderId="2" xfId="0" applyFont="1" applyFill="1" applyBorder="1" applyAlignment="1">
      <alignment vertical="center" wrapText="1"/>
    </xf>
    <xf numFmtId="9" fontId="0" fillId="3" borderId="3" xfId="1" applyFont="1" applyFill="1" applyBorder="1"/>
    <xf numFmtId="9" fontId="0" fillId="3" borderId="3" xfId="1" applyNumberFormat="1" applyFont="1" applyFill="1" applyBorder="1"/>
    <xf numFmtId="9" fontId="0" fillId="3" borderId="2" xfId="1" applyNumberFormat="1" applyFont="1" applyFill="1" applyBorder="1"/>
    <xf numFmtId="0" fontId="0" fillId="3" borderId="5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9" fontId="0" fillId="3" borderId="4" xfId="1" applyNumberFormat="1" applyFont="1" applyFill="1" applyBorder="1"/>
    <xf numFmtId="9" fontId="0" fillId="3" borderId="6" xfId="1" applyNumberFormat="1" applyFont="1" applyFill="1" applyBorder="1"/>
    <xf numFmtId="0" fontId="0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9" fontId="0" fillId="0" borderId="4" xfId="1" applyNumberFormat="1" applyFont="1" applyBorder="1"/>
    <xf numFmtId="9" fontId="0" fillId="0" borderId="6" xfId="1" applyNumberFormat="1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urcentage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MC" b="1">
                <a:solidFill>
                  <a:schemeClr val="tx1"/>
                </a:solidFill>
              </a:rPr>
              <a:t>% FNC traitées dans le delai par 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KPIS!$G$11</c:f>
              <c:strCache>
                <c:ptCount val="1"/>
                <c:pt idx="0">
                  <c:v>pourcentage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KPIS!$E$12:$E$23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KPIS!$G$12:$G$23</c:f>
              <c:numCache>
                <c:formatCode>0%</c:formatCode>
                <c:ptCount val="12"/>
                <c:pt idx="0">
                  <c:v>4.7619047619047616E-2</c:v>
                </c:pt>
                <c:pt idx="1">
                  <c:v>0.11904761904761904</c:v>
                </c:pt>
                <c:pt idx="2">
                  <c:v>7.1428571428571425E-2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0.11904761904761904</c:v>
                </c:pt>
                <c:pt idx="6">
                  <c:v>7.1428571428571425E-2</c:v>
                </c:pt>
                <c:pt idx="7">
                  <c:v>7.1428571428571425E-2</c:v>
                </c:pt>
                <c:pt idx="8">
                  <c:v>4.7619047619047616E-2</c:v>
                </c:pt>
                <c:pt idx="9">
                  <c:v>7.1428571428571425E-2</c:v>
                </c:pt>
                <c:pt idx="10">
                  <c:v>2.3809523809523808E-2</c:v>
                </c:pt>
                <c:pt idx="11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A-4255-B41C-DDD674552E11}"/>
            </c:ext>
          </c:extLst>
        </c:ser>
        <c:ser>
          <c:idx val="2"/>
          <c:order val="2"/>
          <c:tx>
            <c:strRef>
              <c:f>KPIS!$H$11</c:f>
              <c:strCache>
                <c:ptCount val="1"/>
                <c:pt idx="0">
                  <c:v>cible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KPIS!$E$12:$E$23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KPIS!$H$12:$H$23</c:f>
              <c:numCache>
                <c:formatCode>0%</c:formatCode>
                <c:ptCount val="12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A-4255-B41C-DDD67455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487"/>
        <c:axId val="1432157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KPIS!$F$11</c15:sqref>
                        </c15:formulaRef>
                      </c:ext>
                    </c:extLst>
                    <c:strCache>
                      <c:ptCount val="1"/>
                      <c:pt idx="0">
                        <c:v>Formule Excel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KPIS!$E$12:$E$23</c15:sqref>
                        </c15:formulaRef>
                      </c:ext>
                    </c:extLst>
                    <c:strCache>
                      <c:ptCount val="12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Mai</c:v>
                      </c:pt>
                      <c:pt idx="5">
                        <c:v>Juin</c:v>
                      </c:pt>
                      <c:pt idx="6">
                        <c:v>Juillet</c:v>
                      </c:pt>
                      <c:pt idx="7">
                        <c:v>Août</c:v>
                      </c:pt>
                      <c:pt idx="8">
                        <c:v>Septembre</c:v>
                      </c:pt>
                      <c:pt idx="9">
                        <c:v>Octobre</c:v>
                      </c:pt>
                      <c:pt idx="10">
                        <c:v>Novembre</c:v>
                      </c:pt>
                      <c:pt idx="11">
                        <c:v>Décembre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KPIS!$F$12:$F$23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2A-4255-B41C-DDD674552E11}"/>
                  </c:ext>
                </c:extLst>
              </c15:ser>
            </c15:filteredLineSeries>
          </c:ext>
        </c:extLst>
      </c:lineChart>
      <c:catAx>
        <c:axId val="14321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2157231"/>
        <c:crosses val="autoZero"/>
        <c:auto val="1"/>
        <c:lblAlgn val="ctr"/>
        <c:lblOffset val="100"/>
        <c:noMultiLvlLbl val="0"/>
      </c:catAx>
      <c:valAx>
        <c:axId val="1432157231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2153487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9001.xlsx]Feuil7!Tableau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Niveau de gravité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93-4E3A-8860-7F3B076739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93-4E3A-8860-7F3B076739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93-4E3A-8860-7F3B0767399C}"/>
              </c:ext>
            </c:extLst>
          </c:dPt>
          <c:cat>
            <c:strRef>
              <c:f>Feuil7!$A$4:$A$7</c:f>
              <c:strCache>
                <c:ptCount val="3"/>
                <c:pt idx="0">
                  <c:v>Critique</c:v>
                </c:pt>
                <c:pt idx="1">
                  <c:v>Majeur</c:v>
                </c:pt>
                <c:pt idx="2">
                  <c:v>Mineur</c:v>
                </c:pt>
              </c:strCache>
            </c:strRef>
          </c:cat>
          <c:val>
            <c:numRef>
              <c:f>Feuil7!$B$4:$B$7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93-4E3A-8860-7F3B0767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284943"/>
        <c:axId val="1460216831"/>
      </c:barChart>
      <c:catAx>
        <c:axId val="14632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0216831"/>
        <c:crosses val="autoZero"/>
        <c:auto val="1"/>
        <c:lblAlgn val="ctr"/>
        <c:lblOffset val="100"/>
        <c:noMultiLvlLbl val="0"/>
      </c:catAx>
      <c:valAx>
        <c:axId val="1460216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2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9001.xlsx]Feuil7!Tableau croisé dynamique5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C" b="1">
                <a:solidFill>
                  <a:schemeClr val="tx1"/>
                </a:solidFill>
              </a:rPr>
              <a:t>Motif*Cause profonde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Feuil7!$B$11:$B$12</c:f>
              <c:strCache>
                <c:ptCount val="1"/>
                <c:pt idx="0">
                  <c:v>Compétence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Feuil7!$A$13:$A$17</c:f>
              <c:strCache>
                <c:ptCount val="4"/>
                <c:pt idx="0">
                  <c:v>Environnement</c:v>
                </c:pt>
                <c:pt idx="1">
                  <c:v>Hygiène</c:v>
                </c:pt>
                <c:pt idx="2">
                  <c:v>Qualité</c:v>
                </c:pt>
                <c:pt idx="3">
                  <c:v>Sécurité</c:v>
                </c:pt>
              </c:strCache>
            </c:strRef>
          </c:cat>
          <c:val>
            <c:numRef>
              <c:f>Feuil7!$B$13:$B$17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7-4565-9E3A-246952024C0A}"/>
            </c:ext>
          </c:extLst>
        </c:ser>
        <c:ser>
          <c:idx val="1"/>
          <c:order val="1"/>
          <c:tx>
            <c:strRef>
              <c:f>Feuil7!$C$11:$C$12</c:f>
              <c:strCache>
                <c:ptCount val="1"/>
                <c:pt idx="0">
                  <c:v>Fournisseur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Feuil7!$A$13:$A$17</c:f>
              <c:strCache>
                <c:ptCount val="4"/>
                <c:pt idx="0">
                  <c:v>Environnement</c:v>
                </c:pt>
                <c:pt idx="1">
                  <c:v>Hygiène</c:v>
                </c:pt>
                <c:pt idx="2">
                  <c:v>Qualité</c:v>
                </c:pt>
                <c:pt idx="3">
                  <c:v>Sécurité</c:v>
                </c:pt>
              </c:strCache>
            </c:strRef>
          </c:cat>
          <c:val>
            <c:numRef>
              <c:f>Feuil7!$C$13:$C$17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7-4565-9E3A-246952024C0A}"/>
            </c:ext>
          </c:extLst>
        </c:ser>
        <c:ser>
          <c:idx val="2"/>
          <c:order val="2"/>
          <c:tx>
            <c:strRef>
              <c:f>Feuil7!$D$11:$D$12</c:f>
              <c:strCache>
                <c:ptCount val="1"/>
                <c:pt idx="0">
                  <c:v>Matériel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Feuil7!$A$13:$A$17</c:f>
              <c:strCache>
                <c:ptCount val="4"/>
                <c:pt idx="0">
                  <c:v>Environnement</c:v>
                </c:pt>
                <c:pt idx="1">
                  <c:v>Hygiène</c:v>
                </c:pt>
                <c:pt idx="2">
                  <c:v>Qualité</c:v>
                </c:pt>
                <c:pt idx="3">
                  <c:v>Sécurité</c:v>
                </c:pt>
              </c:strCache>
            </c:strRef>
          </c:cat>
          <c:val>
            <c:numRef>
              <c:f>Feuil7!$D$13:$D$17</c:f>
              <c:numCache>
                <c:formatCode>General</c:formatCode>
                <c:ptCount val="4"/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7-4565-9E3A-246952024C0A}"/>
            </c:ext>
          </c:extLst>
        </c:ser>
        <c:ser>
          <c:idx val="3"/>
          <c:order val="3"/>
          <c:tx>
            <c:strRef>
              <c:f>Feuil7!$E$11:$E$12</c:f>
              <c:strCache>
                <c:ptCount val="1"/>
                <c:pt idx="0">
                  <c:v>Processus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Feuil7!$A$13:$A$17</c:f>
              <c:strCache>
                <c:ptCount val="4"/>
                <c:pt idx="0">
                  <c:v>Environnement</c:v>
                </c:pt>
                <c:pt idx="1">
                  <c:v>Hygiène</c:v>
                </c:pt>
                <c:pt idx="2">
                  <c:v>Qualité</c:v>
                </c:pt>
                <c:pt idx="3">
                  <c:v>Sécurité</c:v>
                </c:pt>
              </c:strCache>
            </c:strRef>
          </c:cat>
          <c:val>
            <c:numRef>
              <c:f>Feuil7!$E$13:$E$17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B-4D40-80DF-C08A15110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1455215"/>
        <c:axId val="1461458543"/>
      </c:barChart>
      <c:catAx>
        <c:axId val="14614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458543"/>
        <c:crosses val="autoZero"/>
        <c:auto val="1"/>
        <c:lblAlgn val="ctr"/>
        <c:lblOffset val="100"/>
        <c:noMultiLvlLbl val="0"/>
      </c:catAx>
      <c:valAx>
        <c:axId val="14614585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4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9001.xlsx]Feuil7!Tableau croisé dynamique12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MC" b="1">
                <a:solidFill>
                  <a:schemeClr val="tx1"/>
                </a:solidFill>
              </a:rPr>
              <a:t>Actions correctives mises en oeuvre vs efficace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70C0"/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Feuil7!$B$20</c:f>
              <c:strCache>
                <c:ptCount val="1"/>
                <c:pt idx="0">
                  <c:v>Somme de Action corrective implementees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Feuil7!$A$21:$A$33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Feuil7!$B$21:$B$33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C-4B2C-9B33-2549BC4FEE55}"/>
            </c:ext>
          </c:extLst>
        </c:ser>
        <c:ser>
          <c:idx val="1"/>
          <c:order val="1"/>
          <c:tx>
            <c:strRef>
              <c:f>Feuil7!$C$20</c:f>
              <c:strCache>
                <c:ptCount val="1"/>
                <c:pt idx="0">
                  <c:v>Somme de Action corrective efficace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Feuil7!$A$21:$A$33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Feuil7!$C$21:$C$33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C-4B2C-9B33-2549BC4F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386447"/>
        <c:axId val="1461394351"/>
      </c:barChart>
      <c:catAx>
        <c:axId val="14613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394351"/>
        <c:crosses val="autoZero"/>
        <c:auto val="1"/>
        <c:lblAlgn val="ctr"/>
        <c:lblOffset val="100"/>
        <c:noMultiLvlLbl val="0"/>
      </c:catAx>
      <c:valAx>
        <c:axId val="14613943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3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171450</xdr:rowOff>
    </xdr:from>
    <xdr:to>
      <xdr:col>2</xdr:col>
      <xdr:colOff>695324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9049" y="361950"/>
          <a:ext cx="2200275" cy="3524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MC" sz="1200" b="1">
              <a:solidFill>
                <a:schemeClr val="tx1"/>
              </a:solidFill>
            </a:rPr>
            <a:t>%</a:t>
          </a:r>
          <a:r>
            <a:rPr lang="fr-MC" sz="1200" b="1" baseline="0">
              <a:solidFill>
                <a:schemeClr val="tx1"/>
              </a:solidFill>
            </a:rPr>
            <a:t> FNC traitées dans le délai</a:t>
          </a:r>
        </a:p>
      </xdr:txBody>
    </xdr:sp>
    <xdr:clientData/>
  </xdr:twoCellAnchor>
  <xdr:twoCellAnchor>
    <xdr:from>
      <xdr:col>3</xdr:col>
      <xdr:colOff>0</xdr:colOff>
      <xdr:row>1</xdr:row>
      <xdr:rowOff>171450</xdr:rowOff>
    </xdr:from>
    <xdr:to>
      <xdr:col>6</xdr:col>
      <xdr:colOff>9525</xdr:colOff>
      <xdr:row>4</xdr:row>
      <xdr:rowOff>1</xdr:rowOff>
    </xdr:to>
    <xdr:sp macro="" textlink="">
      <xdr:nvSpPr>
        <xdr:cNvPr id="3" name="Rectangle 2"/>
        <xdr:cNvSpPr/>
      </xdr:nvSpPr>
      <xdr:spPr>
        <a:xfrm>
          <a:off x="2219325" y="361950"/>
          <a:ext cx="2219325" cy="3524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MC" sz="1200" b="1">
              <a:solidFill>
                <a:schemeClr val="tx1"/>
              </a:solidFill>
            </a:rPr>
            <a:t>% Actions correctives efficaces</a:t>
          </a:r>
        </a:p>
      </xdr:txBody>
    </xdr:sp>
    <xdr:clientData/>
  </xdr:twoCellAnchor>
  <xdr:twoCellAnchor>
    <xdr:from>
      <xdr:col>6</xdr:col>
      <xdr:colOff>9525</xdr:colOff>
      <xdr:row>2</xdr:row>
      <xdr:rowOff>9526</xdr:rowOff>
    </xdr:from>
    <xdr:to>
      <xdr:col>8</xdr:col>
      <xdr:colOff>9525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4438650" y="9526"/>
          <a:ext cx="1628775" cy="3238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MC" sz="1100" b="1">
              <a:solidFill>
                <a:schemeClr val="tx1"/>
              </a:solidFill>
            </a:rPr>
            <a:t>Nb FNC critiques</a:t>
          </a:r>
        </a:p>
      </xdr:txBody>
    </xdr:sp>
    <xdr:clientData/>
  </xdr:twoCellAnchor>
  <xdr:twoCellAnchor>
    <xdr:from>
      <xdr:col>8</xdr:col>
      <xdr:colOff>9526</xdr:colOff>
      <xdr:row>2</xdr:row>
      <xdr:rowOff>9525</xdr:rowOff>
    </xdr:from>
    <xdr:to>
      <xdr:col>9</xdr:col>
      <xdr:colOff>752476</xdr:colOff>
      <xdr:row>3</xdr:row>
      <xdr:rowOff>133350</xdr:rowOff>
    </xdr:to>
    <xdr:sp macro="" textlink="">
      <xdr:nvSpPr>
        <xdr:cNvPr id="5" name="Rectangle 4"/>
        <xdr:cNvSpPr/>
      </xdr:nvSpPr>
      <xdr:spPr>
        <a:xfrm>
          <a:off x="6067426" y="9525"/>
          <a:ext cx="1504950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MC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Nb FNC majeures</a:t>
          </a:r>
          <a:endParaRPr lang="fr-MC" sz="1200" b="1">
            <a:solidFill>
              <a:schemeClr val="tx1"/>
            </a:solidFill>
            <a:effectLst/>
          </a:endParaRPr>
        </a:p>
        <a:p>
          <a:pPr algn="l"/>
          <a:endParaRPr lang="fr-MC" sz="1100"/>
        </a:p>
      </xdr:txBody>
    </xdr:sp>
    <xdr:clientData/>
  </xdr:twoCellAnchor>
  <xdr:twoCellAnchor>
    <xdr:from>
      <xdr:col>9</xdr:col>
      <xdr:colOff>752474</xdr:colOff>
      <xdr:row>2</xdr:row>
      <xdr:rowOff>9526</xdr:rowOff>
    </xdr:from>
    <xdr:to>
      <xdr:col>11</xdr:col>
      <xdr:colOff>761999</xdr:colOff>
      <xdr:row>3</xdr:row>
      <xdr:rowOff>133350</xdr:rowOff>
    </xdr:to>
    <xdr:sp macro="" textlink="">
      <xdr:nvSpPr>
        <xdr:cNvPr id="6" name="Rectangle 5"/>
        <xdr:cNvSpPr/>
      </xdr:nvSpPr>
      <xdr:spPr>
        <a:xfrm>
          <a:off x="7572374" y="9526"/>
          <a:ext cx="1533525" cy="3143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MC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 FNC mineures</a:t>
          </a:r>
          <a:endParaRPr lang="fr-MC" b="1">
            <a:effectLst/>
          </a:endParaRPr>
        </a:p>
        <a:p>
          <a:pPr algn="l"/>
          <a:endParaRPr lang="fr-MC" sz="1100"/>
        </a:p>
      </xdr:txBody>
    </xdr:sp>
    <xdr:clientData/>
  </xdr:twoCellAnchor>
  <xdr:twoCellAnchor>
    <xdr:from>
      <xdr:col>6</xdr:col>
      <xdr:colOff>133349</xdr:colOff>
      <xdr:row>16</xdr:row>
      <xdr:rowOff>9525</xdr:rowOff>
    </xdr:from>
    <xdr:to>
      <xdr:col>11</xdr:col>
      <xdr:colOff>438149</xdr:colOff>
      <xdr:row>29</xdr:row>
      <xdr:rowOff>180975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5</xdr:row>
      <xdr:rowOff>95250</xdr:rowOff>
    </xdr:from>
    <xdr:to>
      <xdr:col>4</xdr:col>
      <xdr:colOff>28576</xdr:colOff>
      <xdr:row>16</xdr:row>
      <xdr:rowOff>9525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5</xdr:row>
      <xdr:rowOff>38100</xdr:rowOff>
    </xdr:from>
    <xdr:to>
      <xdr:col>11</xdr:col>
      <xdr:colOff>733425</xdr:colOff>
      <xdr:row>16</xdr:row>
      <xdr:rowOff>28575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161925</xdr:rowOff>
    </xdr:from>
    <xdr:to>
      <xdr:col>6</xdr:col>
      <xdr:colOff>142875</xdr:colOff>
      <xdr:row>30</xdr:row>
      <xdr:rowOff>47625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438149</xdr:colOff>
      <xdr:row>16</xdr:row>
      <xdr:rowOff>0</xdr:rowOff>
    </xdr:from>
    <xdr:to>
      <xdr:col>16</xdr:col>
      <xdr:colOff>695325</xdr:colOff>
      <xdr:row>29</xdr:row>
      <xdr:rowOff>190499</xdr:rowOff>
    </xdr:to>
    <xdr:grpSp>
      <xdr:nvGrpSpPr>
        <xdr:cNvPr id="13" name="Groupe 12"/>
        <xdr:cNvGrpSpPr/>
      </xdr:nvGrpSpPr>
      <xdr:grpSpPr>
        <a:xfrm>
          <a:off x="8782049" y="3000375"/>
          <a:ext cx="4067176" cy="2666999"/>
          <a:chOff x="8782049" y="3000375"/>
          <a:chExt cx="3762376" cy="2666999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7" name="Niveau gravite"/>
              <xdr:cNvGraphicFramePr/>
            </xdr:nvGraphicFramePr>
            <xdr:xfrm>
              <a:off x="10715625" y="3000375"/>
              <a:ext cx="1828800" cy="1152525"/>
            </xdr:xfrm>
            <a:graphic>
              <a:graphicData uri="http://schemas.microsoft.com/office/drawing/2010/slicer">
                <sle:slicer xmlns:sle="http://schemas.microsoft.com/office/drawing/2010/slicer" name="Niveau gravit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872269" y="3000375"/>
                <a:ext cx="1976956" cy="11525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MC" sz="1100"/>
  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8" name="Motif dysfonctionnement"/>
              <xdr:cNvGraphicFramePr/>
            </xdr:nvGraphicFramePr>
            <xdr:xfrm>
              <a:off x="10715625" y="4171950"/>
              <a:ext cx="1828800" cy="1476375"/>
            </xdr:xfrm>
            <a:graphic>
              <a:graphicData uri="http://schemas.microsoft.com/office/drawing/2010/slicer">
                <sle:slicer xmlns:sle="http://schemas.microsoft.com/office/drawing/2010/slicer" name="Motif dysfonctionnement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872269" y="4171950"/>
                <a:ext cx="1976956" cy="147637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MC" sz="1100"/>
  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9" name="Mois2"/>
              <xdr:cNvGraphicFramePr/>
            </xdr:nvGraphicFramePr>
            <xdr:xfrm>
              <a:off x="8782049" y="3028949"/>
              <a:ext cx="1914525" cy="2638425"/>
            </xdr:xfrm>
            <a:graphic>
              <a:graphicData uri="http://schemas.microsoft.com/office/drawing/2010/slicer">
                <sle:slicer xmlns:sle="http://schemas.microsoft.com/office/drawing/2010/slicer" name="Mois2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782049" y="3028949"/>
                <a:ext cx="2069626" cy="26384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MC" sz="1100"/>
  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0</xdr:colOff>
      <xdr:row>0</xdr:row>
      <xdr:rowOff>9525</xdr:rowOff>
    </xdr:from>
    <xdr:to>
      <xdr:col>16</xdr:col>
      <xdr:colOff>657224</xdr:colOff>
      <xdr:row>2</xdr:row>
      <xdr:rowOff>0</xdr:rowOff>
    </xdr:to>
    <xdr:sp macro="" textlink="">
      <xdr:nvSpPr>
        <xdr:cNvPr id="20" name="Rectangle 19"/>
        <xdr:cNvSpPr/>
      </xdr:nvSpPr>
      <xdr:spPr>
        <a:xfrm>
          <a:off x="0" y="9525"/>
          <a:ext cx="12811124" cy="37147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MC" sz="1600" b="1"/>
            <a:t>TABLEAUX DE BORD  - ISO 9001 :</a:t>
          </a:r>
          <a:r>
            <a:rPr lang="fr-MC" sz="1600" b="1" baseline="0"/>
            <a:t> FNC ET ACTIONS CORRECTIVES JANVIER - DECEMBRE 2024</a:t>
          </a:r>
          <a:endParaRPr lang="fr-MC" sz="1600" b="1"/>
        </a:p>
      </xdr:txBody>
    </xdr:sp>
    <xdr:clientData/>
  </xdr:twoCellAnchor>
  <xdr:twoCellAnchor editAs="oneCell">
    <xdr:from>
      <xdr:col>13</xdr:col>
      <xdr:colOff>466726</xdr:colOff>
      <xdr:row>0</xdr:row>
      <xdr:rowOff>0</xdr:rowOff>
    </xdr:from>
    <xdr:to>
      <xdr:col>14</xdr:col>
      <xdr:colOff>190500</xdr:colOff>
      <xdr:row>2</xdr:row>
      <xdr:rowOff>29537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18" t="-1791" r="18614" b="409"/>
        <a:stretch/>
      </xdr:blipFill>
      <xdr:spPr>
        <a:xfrm>
          <a:off x="10334626" y="0"/>
          <a:ext cx="485774" cy="410537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</xdr:row>
      <xdr:rowOff>9525</xdr:rowOff>
    </xdr:from>
    <xdr:to>
      <xdr:col>16</xdr:col>
      <xdr:colOff>666750</xdr:colOff>
      <xdr:row>16</xdr:row>
      <xdr:rowOff>0</xdr:rowOff>
    </xdr:to>
    <xdr:sp macro="" textlink="">
      <xdr:nvSpPr>
        <xdr:cNvPr id="12" name="Rectangle 11"/>
        <xdr:cNvSpPr/>
      </xdr:nvSpPr>
      <xdr:spPr>
        <a:xfrm>
          <a:off x="9115425" y="390525"/>
          <a:ext cx="3705225" cy="26098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MC" sz="13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État global : Jaune (84% FNC traitées dans le délai)</a:t>
          </a:r>
        </a:p>
        <a:p>
          <a:pPr algn="l"/>
          <a:r>
            <a:rPr lang="fr-MC" sz="13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Risques majeurs : </a:t>
          </a:r>
        </a:p>
        <a:p>
          <a:pPr algn="l"/>
          <a:r>
            <a:rPr lang="fr-MC" sz="13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1) FNC critiques liées au processus de production</a:t>
          </a:r>
        </a:p>
        <a:p>
          <a:pPr algn="l"/>
          <a:r>
            <a:rPr lang="fr-MC" sz="13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2) FNC majeures liées à la compétence du personnel</a:t>
          </a:r>
        </a:p>
        <a:p>
          <a:pPr algn="l"/>
          <a:r>
            <a:rPr lang="fr-MC" sz="13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Priorités du mois : </a:t>
          </a:r>
        </a:p>
        <a:p>
          <a:pPr algn="l"/>
          <a:r>
            <a:rPr lang="fr-MC" sz="13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1) Vérifier l’efficacité des actions correctives critiques</a:t>
          </a:r>
        </a:p>
        <a:p>
          <a:pPr algn="l"/>
          <a:r>
            <a:rPr lang="fr-MC" sz="13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2) Former le personnel sur procédures de sécurité</a:t>
          </a:r>
        </a:p>
        <a:p>
          <a:pPr algn="l"/>
          <a:r>
            <a:rPr lang="fr-MC" sz="13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3) Suivi fournisseurs pour réduire les dysfonctionnements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89.450467708331" createdVersion="6" refreshedVersion="6" minRefreshableVersion="3" recordCount="50">
  <cacheSource type="worksheet">
    <worksheetSource name="Tableau2"/>
  </cacheSource>
  <cacheFields count="11">
    <cacheField name="N° FNC" numFmtId="0">
      <sharedItems count="50">
        <s v="FNC001"/>
        <s v="FNC002"/>
        <s v="FNC003"/>
        <s v="FNC004"/>
        <s v="FNC005"/>
        <s v="FNC006"/>
        <s v="FNC007"/>
        <s v="FNC008"/>
        <s v="FNC009"/>
        <s v="FNC010"/>
        <s v="FNC011"/>
        <s v="FNC012"/>
        <s v="FNC013"/>
        <s v="FNC014"/>
        <s v="FNC015"/>
        <s v="FNC016"/>
        <s v="FNC017"/>
        <s v="FNC018"/>
        <s v="FNC019"/>
        <s v="FNC020"/>
        <s v="FNC021"/>
        <s v="FNC022"/>
        <s v="FNC023"/>
        <s v="FNC024"/>
        <s v="FNC025"/>
        <s v="FNC026"/>
        <s v="FNC027"/>
        <s v="FNC028"/>
        <s v="FNC029"/>
        <s v="FNC030"/>
        <s v="FNC031"/>
        <s v="FNC032"/>
        <s v="FNC033"/>
        <s v="FNC034"/>
        <s v="FNC035"/>
        <s v="FNC036"/>
        <s v="FNC037"/>
        <s v="FNC038"/>
        <s v="FNC039"/>
        <s v="FNC040"/>
        <s v="FNC041"/>
        <s v="FNC042"/>
        <s v="FNC043"/>
        <s v="FNC044"/>
        <s v="FNC045"/>
        <s v="FNC046"/>
        <s v="FNC047"/>
        <s v="FNC048"/>
        <s v="FNC049"/>
        <s v="FNC050"/>
      </sharedItems>
    </cacheField>
    <cacheField name="Mois" numFmtId="14">
      <sharedItems containsSemiMixedTypes="0" containsNonDate="0" containsDate="1" containsString="0" minDate="2024-01-01T00:00:00" maxDate="2024-12-11T00:00:00" count="34">
        <d v="2024-01-01T00:00:00"/>
        <d v="2024-01-05T00:00:00"/>
        <d v="2024-01-10T00:00:00"/>
        <d v="2024-02-15T00:00:00"/>
        <d v="2024-02-20T00:00:00"/>
        <d v="2024-02-25T00:00:00"/>
        <d v="2024-03-30T00:00:00"/>
        <d v="2024-03-03T00:00:00"/>
        <d v="2024-03-09T00:00:00"/>
        <d v="2024-04-12T00:00:00"/>
        <d v="2024-04-18T00:00:00"/>
        <d v="2024-04-24T00:00:00"/>
        <d v="2024-05-02T00:00:00"/>
        <d v="2024-05-08T00:00:00"/>
        <d v="2024-05-14T00:00:00"/>
        <d v="2024-06-20T00:00:00"/>
        <d v="2024-06-26T00:00:00"/>
        <d v="2024-06-29T00:00:00"/>
        <d v="2024-07-04T00:00:00"/>
        <d v="2024-07-11T00:00:00"/>
        <d v="2024-07-19T00:00:00"/>
        <d v="2024-08-27T00:00:00"/>
        <d v="2024-08-31T00:00:00"/>
        <d v="2024-08-06T00:00:00"/>
        <d v="2024-09-07T00:00:00"/>
        <d v="2024-09-14T00:00:00"/>
        <d v="2024-09-21T00:00:00"/>
        <d v="2024-10-27T00:00:00"/>
        <d v="2024-10-07T00:00:00"/>
        <d v="2024-10-17T00:00:00"/>
        <d v="2024-11-28T00:00:00"/>
        <d v="2024-12-01T00:00:00"/>
        <d v="2024-12-05T00:00:00"/>
        <d v="2024-12-10T00:00:00"/>
      </sharedItems>
      <fieldGroup par="10" base="1">
        <rangePr groupBy="days" startDate="2024-01-01T00:00:00" endDate="2024-12-11T00:00:00"/>
        <groupItems count="368">
          <s v="&lt;01/01/2024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1/12/2024"/>
        </groupItems>
      </fieldGroup>
    </cacheField>
    <cacheField name="Niveau gravite" numFmtId="0">
      <sharedItems count="3">
        <s v="Critique"/>
        <s v="Majeur"/>
        <s v="Mineur"/>
      </sharedItems>
    </cacheField>
    <cacheField name="Motif dysfonctionnement" numFmtId="0">
      <sharedItems count="4">
        <s v="Qualité"/>
        <s v="Sécurité"/>
        <s v="Hygiène"/>
        <s v="Environnement"/>
      </sharedItems>
    </cacheField>
    <cacheField name="Cause_profonde" numFmtId="0">
      <sharedItems count="4">
        <s v="Processus"/>
        <s v="Compétence"/>
        <s v="Fournisseur"/>
        <s v="Matériel"/>
      </sharedItems>
    </cacheField>
    <cacheField name="Delai traitement jours" numFmtId="0">
      <sharedItems containsSemiMixedTypes="0" containsString="0" containsNumber="1" containsInteger="1" minValue="3" maxValue="14"/>
    </cacheField>
    <cacheField name="Delai imparti jours" numFmtId="0">
      <sharedItems containsSemiMixedTypes="0" containsString="0" containsNumber="1" containsInteger="1" minValue="5" maxValue="15"/>
    </cacheField>
    <cacheField name="FNC traitee dans delai" numFmtId="0">
      <sharedItems count="2">
        <s v="Oui"/>
        <s v="Non"/>
      </sharedItems>
    </cacheField>
    <cacheField name="Action corrective implementees" numFmtId="0">
      <sharedItems containsSemiMixedTypes="0" containsString="0" containsNumber="1" containsInteger="1" minValue="1" maxValue="3"/>
    </cacheField>
    <cacheField name="Action corrective efficace" numFmtId="0">
      <sharedItems containsSemiMixedTypes="0" containsString="0" containsNumber="1" containsInteger="1" minValue="0" maxValue="3"/>
    </cacheField>
    <cacheField name="Mois2" numFmtId="0" databaseField="0">
      <fieldGroup base="1">
        <rangePr groupBy="months" startDate="2024-01-01T00:00:00" endDate="2024-12-11T00:00:00"/>
        <groupItems count="14">
          <s v="&lt;01/0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1/12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4"/>
    <n v="5"/>
    <x v="0"/>
    <n v="2"/>
    <n v="2"/>
  </r>
  <r>
    <x v="1"/>
    <x v="1"/>
    <x v="1"/>
    <x v="1"/>
    <x v="1"/>
    <n v="12"/>
    <n v="10"/>
    <x v="1"/>
    <n v="1"/>
    <n v="0"/>
  </r>
  <r>
    <x v="2"/>
    <x v="2"/>
    <x v="2"/>
    <x v="2"/>
    <x v="2"/>
    <n v="14"/>
    <n v="15"/>
    <x v="0"/>
    <n v="1"/>
    <n v="1"/>
  </r>
  <r>
    <x v="3"/>
    <x v="3"/>
    <x v="0"/>
    <x v="3"/>
    <x v="0"/>
    <n v="6"/>
    <n v="5"/>
    <x v="1"/>
    <n v="3"/>
    <n v="2"/>
  </r>
  <r>
    <x v="4"/>
    <x v="4"/>
    <x v="1"/>
    <x v="0"/>
    <x v="3"/>
    <n v="8"/>
    <n v="10"/>
    <x v="0"/>
    <n v="2"/>
    <n v="2"/>
  </r>
  <r>
    <x v="5"/>
    <x v="5"/>
    <x v="2"/>
    <x v="1"/>
    <x v="1"/>
    <n v="10"/>
    <n v="15"/>
    <x v="0"/>
    <n v="1"/>
    <n v="1"/>
  </r>
  <r>
    <x v="6"/>
    <x v="6"/>
    <x v="0"/>
    <x v="2"/>
    <x v="0"/>
    <n v="5"/>
    <n v="5"/>
    <x v="0"/>
    <n v="2"/>
    <n v="1"/>
  </r>
  <r>
    <x v="7"/>
    <x v="7"/>
    <x v="1"/>
    <x v="3"/>
    <x v="2"/>
    <n v="11"/>
    <n v="10"/>
    <x v="1"/>
    <n v="1"/>
    <n v="1"/>
  </r>
  <r>
    <x v="8"/>
    <x v="8"/>
    <x v="2"/>
    <x v="0"/>
    <x v="1"/>
    <n v="13"/>
    <n v="15"/>
    <x v="0"/>
    <n v="1"/>
    <n v="0"/>
  </r>
  <r>
    <x v="9"/>
    <x v="9"/>
    <x v="0"/>
    <x v="1"/>
    <x v="0"/>
    <n v="3"/>
    <n v="5"/>
    <x v="0"/>
    <n v="3"/>
    <n v="3"/>
  </r>
  <r>
    <x v="10"/>
    <x v="10"/>
    <x v="1"/>
    <x v="2"/>
    <x v="3"/>
    <n v="9"/>
    <n v="10"/>
    <x v="0"/>
    <n v="2"/>
    <n v="2"/>
  </r>
  <r>
    <x v="11"/>
    <x v="11"/>
    <x v="2"/>
    <x v="3"/>
    <x v="1"/>
    <n v="12"/>
    <n v="15"/>
    <x v="0"/>
    <n v="1"/>
    <n v="1"/>
  </r>
  <r>
    <x v="12"/>
    <x v="12"/>
    <x v="0"/>
    <x v="0"/>
    <x v="0"/>
    <n v="5"/>
    <n v="5"/>
    <x v="0"/>
    <n v="2"/>
    <n v="2"/>
  </r>
  <r>
    <x v="13"/>
    <x v="13"/>
    <x v="1"/>
    <x v="1"/>
    <x v="2"/>
    <n v="8"/>
    <n v="10"/>
    <x v="0"/>
    <n v="1"/>
    <n v="1"/>
  </r>
  <r>
    <x v="14"/>
    <x v="14"/>
    <x v="2"/>
    <x v="2"/>
    <x v="1"/>
    <n v="14"/>
    <n v="15"/>
    <x v="0"/>
    <n v="1"/>
    <n v="1"/>
  </r>
  <r>
    <x v="15"/>
    <x v="15"/>
    <x v="0"/>
    <x v="3"/>
    <x v="0"/>
    <n v="6"/>
    <n v="5"/>
    <x v="1"/>
    <n v="3"/>
    <n v="2"/>
  </r>
  <r>
    <x v="16"/>
    <x v="16"/>
    <x v="1"/>
    <x v="0"/>
    <x v="3"/>
    <n v="7"/>
    <n v="10"/>
    <x v="0"/>
    <n v="2"/>
    <n v="2"/>
  </r>
  <r>
    <x v="17"/>
    <x v="17"/>
    <x v="2"/>
    <x v="1"/>
    <x v="1"/>
    <n v="11"/>
    <n v="15"/>
    <x v="0"/>
    <n v="1"/>
    <n v="1"/>
  </r>
  <r>
    <x v="18"/>
    <x v="18"/>
    <x v="0"/>
    <x v="2"/>
    <x v="0"/>
    <n v="4"/>
    <n v="5"/>
    <x v="0"/>
    <n v="2"/>
    <n v="2"/>
  </r>
  <r>
    <x v="19"/>
    <x v="19"/>
    <x v="1"/>
    <x v="3"/>
    <x v="2"/>
    <n v="9"/>
    <n v="10"/>
    <x v="0"/>
    <n v="2"/>
    <n v="2"/>
  </r>
  <r>
    <x v="20"/>
    <x v="20"/>
    <x v="2"/>
    <x v="0"/>
    <x v="1"/>
    <n v="12"/>
    <n v="15"/>
    <x v="0"/>
    <n v="1"/>
    <n v="1"/>
  </r>
  <r>
    <x v="21"/>
    <x v="21"/>
    <x v="0"/>
    <x v="1"/>
    <x v="0"/>
    <n v="5"/>
    <n v="5"/>
    <x v="0"/>
    <n v="3"/>
    <n v="3"/>
  </r>
  <r>
    <x v="22"/>
    <x v="22"/>
    <x v="1"/>
    <x v="2"/>
    <x v="3"/>
    <n v="8"/>
    <n v="10"/>
    <x v="0"/>
    <n v="2"/>
    <n v="2"/>
  </r>
  <r>
    <x v="23"/>
    <x v="23"/>
    <x v="2"/>
    <x v="3"/>
    <x v="1"/>
    <n v="13"/>
    <n v="15"/>
    <x v="0"/>
    <n v="1"/>
    <n v="1"/>
  </r>
  <r>
    <x v="24"/>
    <x v="24"/>
    <x v="0"/>
    <x v="0"/>
    <x v="0"/>
    <n v="6"/>
    <n v="5"/>
    <x v="1"/>
    <n v="2"/>
    <n v="1"/>
  </r>
  <r>
    <x v="25"/>
    <x v="25"/>
    <x v="1"/>
    <x v="1"/>
    <x v="2"/>
    <n v="7"/>
    <n v="10"/>
    <x v="0"/>
    <n v="2"/>
    <n v="2"/>
  </r>
  <r>
    <x v="26"/>
    <x v="26"/>
    <x v="2"/>
    <x v="2"/>
    <x v="1"/>
    <n v="12"/>
    <n v="15"/>
    <x v="0"/>
    <n v="1"/>
    <n v="1"/>
  </r>
  <r>
    <x v="27"/>
    <x v="27"/>
    <x v="0"/>
    <x v="3"/>
    <x v="0"/>
    <n v="5"/>
    <n v="5"/>
    <x v="0"/>
    <n v="3"/>
    <n v="2"/>
  </r>
  <r>
    <x v="28"/>
    <x v="28"/>
    <x v="1"/>
    <x v="0"/>
    <x v="3"/>
    <n v="9"/>
    <n v="10"/>
    <x v="0"/>
    <n v="2"/>
    <n v="2"/>
  </r>
  <r>
    <x v="29"/>
    <x v="29"/>
    <x v="2"/>
    <x v="1"/>
    <x v="1"/>
    <n v="13"/>
    <n v="15"/>
    <x v="0"/>
    <n v="1"/>
    <n v="1"/>
  </r>
  <r>
    <x v="30"/>
    <x v="30"/>
    <x v="0"/>
    <x v="2"/>
    <x v="0"/>
    <n v="4"/>
    <n v="5"/>
    <x v="0"/>
    <n v="2"/>
    <n v="2"/>
  </r>
  <r>
    <x v="31"/>
    <x v="31"/>
    <x v="1"/>
    <x v="3"/>
    <x v="2"/>
    <n v="8"/>
    <n v="10"/>
    <x v="0"/>
    <n v="2"/>
    <n v="2"/>
  </r>
  <r>
    <x v="32"/>
    <x v="32"/>
    <x v="2"/>
    <x v="0"/>
    <x v="1"/>
    <n v="12"/>
    <n v="15"/>
    <x v="0"/>
    <n v="1"/>
    <n v="1"/>
  </r>
  <r>
    <x v="33"/>
    <x v="33"/>
    <x v="0"/>
    <x v="1"/>
    <x v="0"/>
    <n v="5"/>
    <n v="5"/>
    <x v="0"/>
    <n v="3"/>
    <n v="3"/>
  </r>
  <r>
    <x v="34"/>
    <x v="3"/>
    <x v="1"/>
    <x v="2"/>
    <x v="3"/>
    <n v="9"/>
    <n v="10"/>
    <x v="0"/>
    <n v="2"/>
    <n v="2"/>
  </r>
  <r>
    <x v="35"/>
    <x v="4"/>
    <x v="2"/>
    <x v="3"/>
    <x v="1"/>
    <n v="13"/>
    <n v="15"/>
    <x v="0"/>
    <n v="1"/>
    <n v="1"/>
  </r>
  <r>
    <x v="36"/>
    <x v="5"/>
    <x v="0"/>
    <x v="0"/>
    <x v="0"/>
    <n v="4"/>
    <n v="5"/>
    <x v="0"/>
    <n v="2"/>
    <n v="2"/>
  </r>
  <r>
    <x v="37"/>
    <x v="6"/>
    <x v="1"/>
    <x v="1"/>
    <x v="1"/>
    <n v="11"/>
    <n v="10"/>
    <x v="1"/>
    <n v="1"/>
    <n v="0"/>
  </r>
  <r>
    <x v="38"/>
    <x v="7"/>
    <x v="2"/>
    <x v="2"/>
    <x v="2"/>
    <n v="13"/>
    <n v="15"/>
    <x v="0"/>
    <n v="1"/>
    <n v="1"/>
  </r>
  <r>
    <x v="39"/>
    <x v="8"/>
    <x v="0"/>
    <x v="3"/>
    <x v="0"/>
    <n v="6"/>
    <n v="5"/>
    <x v="1"/>
    <n v="3"/>
    <n v="2"/>
  </r>
  <r>
    <x v="40"/>
    <x v="9"/>
    <x v="1"/>
    <x v="0"/>
    <x v="3"/>
    <n v="8"/>
    <n v="10"/>
    <x v="0"/>
    <n v="2"/>
    <n v="2"/>
  </r>
  <r>
    <x v="41"/>
    <x v="10"/>
    <x v="2"/>
    <x v="1"/>
    <x v="1"/>
    <n v="11"/>
    <n v="15"/>
    <x v="0"/>
    <n v="1"/>
    <n v="1"/>
  </r>
  <r>
    <x v="42"/>
    <x v="11"/>
    <x v="0"/>
    <x v="2"/>
    <x v="0"/>
    <n v="4"/>
    <n v="5"/>
    <x v="0"/>
    <n v="2"/>
    <n v="2"/>
  </r>
  <r>
    <x v="43"/>
    <x v="12"/>
    <x v="1"/>
    <x v="3"/>
    <x v="2"/>
    <n v="9"/>
    <n v="10"/>
    <x v="0"/>
    <n v="2"/>
    <n v="2"/>
  </r>
  <r>
    <x v="44"/>
    <x v="13"/>
    <x v="2"/>
    <x v="0"/>
    <x v="1"/>
    <n v="12"/>
    <n v="15"/>
    <x v="0"/>
    <n v="1"/>
    <n v="1"/>
  </r>
  <r>
    <x v="45"/>
    <x v="14"/>
    <x v="0"/>
    <x v="1"/>
    <x v="0"/>
    <n v="5"/>
    <n v="5"/>
    <x v="0"/>
    <n v="3"/>
    <n v="3"/>
  </r>
  <r>
    <x v="46"/>
    <x v="15"/>
    <x v="1"/>
    <x v="2"/>
    <x v="3"/>
    <n v="8"/>
    <n v="10"/>
    <x v="0"/>
    <n v="2"/>
    <n v="2"/>
  </r>
  <r>
    <x v="47"/>
    <x v="16"/>
    <x v="2"/>
    <x v="3"/>
    <x v="1"/>
    <n v="13"/>
    <n v="15"/>
    <x v="0"/>
    <n v="1"/>
    <n v="1"/>
  </r>
  <r>
    <x v="48"/>
    <x v="17"/>
    <x v="0"/>
    <x v="0"/>
    <x v="0"/>
    <n v="4"/>
    <n v="5"/>
    <x v="0"/>
    <n v="2"/>
    <n v="2"/>
  </r>
  <r>
    <x v="49"/>
    <x v="18"/>
    <x v="1"/>
    <x v="1"/>
    <x v="1"/>
    <n v="12"/>
    <n v="10"/>
    <x v="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1:F17" firstHeaderRow="1" firstDataRow="2" firstDataCol="1"/>
  <pivotFields count="11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N° FNC" fld="0" subtotal="count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1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N° FNC" fld="0" subtotal="count" baseField="0" baseItem="0"/>
  </dataFields>
  <chartFormats count="4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20:C33" firstHeaderRow="0" firstDataRow="1" firstDataCol="1"/>
  <pivotFields count="11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2">
    <field x="10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Action corrective implementees" fld="8" baseField="0" baseItem="0"/>
    <dataField name="Somme de Action corrective efficace" fld="9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Niveau_gravite" sourceName="Niveau gravite">
  <pivotTables>
    <pivotTable tabId="7" name="Tableau croisé dynamique4"/>
    <pivotTable tabId="7" name="Tableau croisé dynamique12"/>
    <pivotTable tabId="7" name="Tableau croisé dynamique5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tif_dysfonctionnement" sourceName="Motif dysfonctionnement">
  <pivotTables>
    <pivotTable tabId="7" name="Tableau croisé dynamique4"/>
    <pivotTable tabId="7" name="Tableau croisé dynamique12"/>
    <pivotTable tabId="7" name="Tableau croisé dynamique5"/>
  </pivotTables>
  <data>
    <tabular pivotCacheId="1">
      <items count="4"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is2" sourceName="Mois2">
  <pivotTables>
    <pivotTable tabId="7" name="Tableau croisé dynamique12"/>
    <pivotTable tabId="7" name="Tableau croisé dynamique4"/>
    <pivotTable tabId="7" name="Tableau croisé dynamique5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iveau gravite" cache="Segment_Niveau_gravite" caption="Niveau gravite" rowHeight="241300"/>
  <slicer name="Motif dysfonctionnement" cache="Segment_Motif_dysfonctionnement" caption="Motif dysfonctionnement" rowHeight="241300"/>
  <slicer name="Mois2" cache="Segment_Mois2" caption="Mois2" startItem="6" rowHeight="241300"/>
</slicers>
</file>

<file path=xl/tables/table1.xml><?xml version="1.0" encoding="utf-8"?>
<table xmlns="http://schemas.openxmlformats.org/spreadsheetml/2006/main" id="2" name="Tableau2" displayName="Tableau2" ref="A1:K51" totalsRowShown="0" headerRowDxfId="17" dataDxfId="16">
  <autoFilter ref="A1:K51"/>
  <tableColumns count="11">
    <tableColumn id="1" name="N° FNC" dataDxfId="15"/>
    <tableColumn id="2" name="Mois" dataDxfId="14"/>
    <tableColumn id="3" name="Niveau gravite" dataDxfId="13"/>
    <tableColumn id="4" name="Motif dysfonctionnement" dataDxfId="12"/>
    <tableColumn id="5" name="Cause_profonde" dataDxfId="11"/>
    <tableColumn id="6" name="Delai traitement jours" dataDxfId="10"/>
    <tableColumn id="7" name="Delai imparti jours" dataDxfId="9"/>
    <tableColumn id="8" name="FNC traitee dans delai" dataDxfId="8"/>
    <tableColumn id="9" name="Action corrective implementees" dataDxfId="7"/>
    <tableColumn id="10" name="Action corrective efficace" dataDxfId="6"/>
    <tableColumn id="11" name="mois2" dataDxfId="5">
      <calculatedColumnFormula>YEAR(B2)&amp;"-"&amp;TEXT(MONTH(B2),"00")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C6" totalsRowShown="0">
  <autoFilter ref="A1:C6"/>
  <tableColumns count="3">
    <tableColumn id="1" name="KPI"/>
    <tableColumn id="2" name="Cible"/>
    <tableColumn id="3" name="Se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G2:H5" totalsRowShown="0">
  <autoFilter ref="G2:H5"/>
  <tableColumns count="2">
    <tableColumn id="1" name="Statistiques par niveu de gravité"/>
    <tableColumn id="2" name="Colonne1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au5" displayName="Tableau5" ref="E11:H23" totalsRowShown="0" headerRowDxfId="3" tableBorderDxfId="2">
  <autoFilter ref="E11:H23"/>
  <tableColumns count="4">
    <tableColumn id="1" name="Mois"/>
    <tableColumn id="2" name="Formule Excel"/>
    <tableColumn id="3" name="pourcentage"/>
    <tableColumn id="4" name="ci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topLeftCell="A17" workbookViewId="0">
      <selection activeCell="R13" sqref="R13"/>
    </sheetView>
  </sheetViews>
  <sheetFormatPr baseColWidth="10" defaultRowHeight="15"/>
  <cols>
    <col min="1" max="1" width="21" customWidth="1"/>
    <col min="2" max="2" width="23.85546875" customWidth="1"/>
    <col min="3" max="3" width="11.42578125" customWidth="1"/>
    <col min="4" max="4" width="8.7109375" customWidth="1"/>
    <col min="5" max="5" width="9.7109375" customWidth="1"/>
    <col min="6" max="6" width="12.5703125" customWidth="1"/>
    <col min="7" max="7" width="21" customWidth="1"/>
    <col min="8" max="8" width="24.5703125" customWidth="1"/>
    <col min="9" max="9" width="34.85546875" customWidth="1"/>
    <col min="10" max="10" width="24.5703125" customWidth="1"/>
    <col min="11" max="11" width="34.85546875" customWidth="1"/>
    <col min="12" max="12" width="24.5703125" customWidth="1"/>
    <col min="13" max="13" width="34.85546875" customWidth="1"/>
    <col min="14" max="14" width="29.5703125" customWidth="1"/>
    <col min="15" max="15" width="39.85546875" customWidth="1"/>
    <col min="16" max="16" width="32.42578125" customWidth="1"/>
    <col min="17" max="17" width="42.7109375" customWidth="1"/>
    <col min="18" max="18" width="24.5703125" customWidth="1"/>
    <col min="19" max="19" width="34.85546875" customWidth="1"/>
    <col min="20" max="20" width="24.5703125" customWidth="1"/>
    <col min="21" max="21" width="34.85546875" customWidth="1"/>
    <col min="22" max="22" width="24.5703125" customWidth="1"/>
    <col min="23" max="23" width="34.85546875" customWidth="1"/>
    <col min="24" max="24" width="24.5703125" customWidth="1"/>
    <col min="25" max="25" width="34.85546875" customWidth="1"/>
    <col min="26" max="26" width="31.7109375" customWidth="1"/>
    <col min="27" max="27" width="42" customWidth="1"/>
    <col min="28" max="28" width="24.5703125" customWidth="1"/>
    <col min="29" max="29" width="34.85546875" customWidth="1"/>
    <col min="30" max="30" width="24.5703125" customWidth="1"/>
    <col min="31" max="31" width="34.85546875" customWidth="1"/>
    <col min="32" max="32" width="24.5703125" customWidth="1"/>
    <col min="33" max="33" width="34.85546875" customWidth="1"/>
    <col min="34" max="34" width="24.5703125" customWidth="1"/>
    <col min="35" max="35" width="34.85546875" customWidth="1"/>
    <col min="36" max="36" width="31.85546875" customWidth="1"/>
    <col min="37" max="37" width="42.140625" customWidth="1"/>
    <col min="38" max="38" width="29.5703125" customWidth="1"/>
    <col min="39" max="39" width="39.85546875" customWidth="1"/>
    <col min="40" max="41" width="6.85546875" customWidth="1"/>
    <col min="42" max="42" width="12.5703125" bestFit="1" customWidth="1"/>
  </cols>
  <sheetData>
    <row r="3" spans="1:6">
      <c r="A3" s="5" t="s">
        <v>73</v>
      </c>
      <c r="B3" t="s">
        <v>111</v>
      </c>
    </row>
    <row r="4" spans="1:6">
      <c r="A4" s="6" t="s">
        <v>4</v>
      </c>
      <c r="B4" s="13">
        <v>17</v>
      </c>
    </row>
    <row r="5" spans="1:6">
      <c r="A5" s="6" t="s">
        <v>9</v>
      </c>
      <c r="B5" s="13">
        <v>17</v>
      </c>
    </row>
    <row r="6" spans="1:6">
      <c r="A6" s="6" t="s">
        <v>14</v>
      </c>
      <c r="B6" s="13">
        <v>16</v>
      </c>
    </row>
    <row r="7" spans="1:6">
      <c r="A7" s="6" t="s">
        <v>74</v>
      </c>
      <c r="B7" s="13">
        <v>50</v>
      </c>
    </row>
    <row r="11" spans="1:6">
      <c r="A11" s="5" t="s">
        <v>111</v>
      </c>
      <c r="B11" s="5" t="s">
        <v>112</v>
      </c>
    </row>
    <row r="12" spans="1:6">
      <c r="A12" s="5" t="s">
        <v>73</v>
      </c>
      <c r="B12" t="s">
        <v>11</v>
      </c>
      <c r="C12" t="s">
        <v>16</v>
      </c>
      <c r="D12" t="s">
        <v>20</v>
      </c>
      <c r="E12" t="s">
        <v>6</v>
      </c>
      <c r="F12" t="s">
        <v>74</v>
      </c>
    </row>
    <row r="13" spans="1:6">
      <c r="A13" s="6" t="s">
        <v>18</v>
      </c>
      <c r="B13" s="13">
        <v>4</v>
      </c>
      <c r="C13" s="13">
        <v>4</v>
      </c>
      <c r="D13" s="13"/>
      <c r="E13" s="13">
        <v>4</v>
      </c>
      <c r="F13" s="13">
        <v>12</v>
      </c>
    </row>
    <row r="14" spans="1:6">
      <c r="A14" s="6" t="s">
        <v>15</v>
      </c>
      <c r="B14" s="13">
        <v>2</v>
      </c>
      <c r="C14" s="13">
        <v>2</v>
      </c>
      <c r="D14" s="13">
        <v>4</v>
      </c>
      <c r="E14" s="13">
        <v>4</v>
      </c>
      <c r="F14" s="13">
        <v>12</v>
      </c>
    </row>
    <row r="15" spans="1:6">
      <c r="A15" s="6" t="s">
        <v>5</v>
      </c>
      <c r="B15" s="13">
        <v>4</v>
      </c>
      <c r="C15" s="13"/>
      <c r="D15" s="13">
        <v>4</v>
      </c>
      <c r="E15" s="13">
        <v>5</v>
      </c>
      <c r="F15" s="13">
        <v>13</v>
      </c>
    </row>
    <row r="16" spans="1:6">
      <c r="A16" s="6" t="s">
        <v>10</v>
      </c>
      <c r="B16" s="13">
        <v>7</v>
      </c>
      <c r="C16" s="13">
        <v>2</v>
      </c>
      <c r="D16" s="13"/>
      <c r="E16" s="13">
        <v>4</v>
      </c>
      <c r="F16" s="13">
        <v>13</v>
      </c>
    </row>
    <row r="17" spans="1:15">
      <c r="A17" s="6" t="s">
        <v>74</v>
      </c>
      <c r="B17" s="13">
        <v>17</v>
      </c>
      <c r="C17" s="13">
        <v>8</v>
      </c>
      <c r="D17" s="13">
        <v>8</v>
      </c>
      <c r="E17" s="13">
        <v>17</v>
      </c>
      <c r="F17" s="13">
        <v>50</v>
      </c>
    </row>
    <row r="20" spans="1:15">
      <c r="A20" s="5" t="s">
        <v>73</v>
      </c>
      <c r="B20" t="s">
        <v>127</v>
      </c>
      <c r="C20" t="s">
        <v>128</v>
      </c>
    </row>
    <row r="21" spans="1:15">
      <c r="A21" s="6" t="s">
        <v>115</v>
      </c>
      <c r="B21" s="13">
        <v>4</v>
      </c>
      <c r="C21" s="13">
        <v>3</v>
      </c>
    </row>
    <row r="22" spans="1:15">
      <c r="A22" s="6" t="s">
        <v>116</v>
      </c>
      <c r="B22" s="13">
        <v>11</v>
      </c>
      <c r="C22" s="13">
        <v>10</v>
      </c>
    </row>
    <row r="23" spans="1:15">
      <c r="A23" s="6" t="s">
        <v>117</v>
      </c>
      <c r="B23" s="13">
        <v>9</v>
      </c>
      <c r="C23" s="13">
        <v>5</v>
      </c>
      <c r="G23" s="6"/>
      <c r="H23" s="13"/>
      <c r="I23" s="13"/>
      <c r="J23" s="13"/>
      <c r="K23" s="13"/>
      <c r="L23" s="13"/>
      <c r="M23" s="13"/>
      <c r="N23" s="13"/>
      <c r="O23" s="13"/>
    </row>
    <row r="24" spans="1:15">
      <c r="A24" s="6" t="s">
        <v>118</v>
      </c>
      <c r="B24" s="13">
        <v>11</v>
      </c>
      <c r="C24" s="13">
        <v>11</v>
      </c>
      <c r="G24" s="6"/>
      <c r="H24" s="13"/>
      <c r="I24" s="13"/>
      <c r="J24" s="13"/>
      <c r="K24" s="13"/>
      <c r="L24" s="13"/>
      <c r="M24" s="13"/>
      <c r="N24" s="13"/>
      <c r="O24" s="13"/>
    </row>
    <row r="25" spans="1:15">
      <c r="A25" s="6" t="s">
        <v>119</v>
      </c>
      <c r="B25" s="13">
        <v>10</v>
      </c>
      <c r="C25" s="13">
        <v>10</v>
      </c>
      <c r="G25" s="6"/>
      <c r="H25" s="13"/>
      <c r="I25" s="13"/>
      <c r="J25" s="13"/>
      <c r="K25" s="13"/>
      <c r="L25" s="13"/>
      <c r="M25" s="13"/>
      <c r="N25" s="13"/>
      <c r="O25" s="13"/>
    </row>
    <row r="26" spans="1:15">
      <c r="A26" s="6" t="s">
        <v>120</v>
      </c>
      <c r="B26" s="13">
        <v>11</v>
      </c>
      <c r="C26" s="13">
        <v>10</v>
      </c>
      <c r="G26" s="6"/>
      <c r="H26" s="13"/>
      <c r="I26" s="13"/>
      <c r="J26" s="13"/>
      <c r="K26" s="13"/>
      <c r="L26" s="13"/>
      <c r="M26" s="13"/>
      <c r="N26" s="13"/>
      <c r="O26" s="13"/>
    </row>
    <row r="27" spans="1:15">
      <c r="A27" s="6" t="s">
        <v>121</v>
      </c>
      <c r="B27" s="13">
        <v>6</v>
      </c>
      <c r="C27" s="13">
        <v>5</v>
      </c>
      <c r="G27" s="6"/>
      <c r="H27" s="13"/>
      <c r="I27" s="13"/>
      <c r="J27" s="13"/>
      <c r="K27" s="13"/>
      <c r="L27" s="13"/>
      <c r="M27" s="13"/>
      <c r="N27" s="13"/>
      <c r="O27" s="13"/>
    </row>
    <row r="28" spans="1:15">
      <c r="A28" s="6" t="s">
        <v>122</v>
      </c>
      <c r="B28" s="13">
        <v>6</v>
      </c>
      <c r="C28" s="13">
        <v>6</v>
      </c>
      <c r="G28" s="6"/>
      <c r="H28" s="13"/>
      <c r="I28" s="13"/>
      <c r="J28" s="13"/>
      <c r="K28" s="13"/>
      <c r="L28" s="13"/>
      <c r="M28" s="13"/>
      <c r="N28" s="13"/>
      <c r="O28" s="13"/>
    </row>
    <row r="29" spans="1:15">
      <c r="A29" s="6" t="s">
        <v>123</v>
      </c>
      <c r="B29" s="13">
        <v>5</v>
      </c>
      <c r="C29" s="13">
        <v>4</v>
      </c>
      <c r="G29" s="6"/>
      <c r="H29" s="13"/>
      <c r="I29" s="13"/>
      <c r="J29" s="13"/>
      <c r="K29" s="13"/>
      <c r="L29" s="13"/>
      <c r="M29" s="13"/>
      <c r="N29" s="13"/>
      <c r="O29" s="13"/>
    </row>
    <row r="30" spans="1:15">
      <c r="A30" s="6" t="s">
        <v>124</v>
      </c>
      <c r="B30" s="13">
        <v>6</v>
      </c>
      <c r="C30" s="13">
        <v>5</v>
      </c>
      <c r="G30" s="6"/>
      <c r="H30" s="13"/>
      <c r="I30" s="13"/>
      <c r="J30" s="13"/>
      <c r="K30" s="13"/>
      <c r="L30" s="13"/>
      <c r="M30" s="13"/>
      <c r="N30" s="13"/>
      <c r="O30" s="13"/>
    </row>
    <row r="31" spans="1:15">
      <c r="A31" s="6" t="s">
        <v>125</v>
      </c>
      <c r="B31" s="13">
        <v>2</v>
      </c>
      <c r="C31" s="13">
        <v>2</v>
      </c>
      <c r="G31" s="6"/>
      <c r="H31" s="13"/>
      <c r="I31" s="13"/>
      <c r="J31" s="13"/>
      <c r="K31" s="13"/>
      <c r="L31" s="13"/>
      <c r="M31" s="13"/>
      <c r="N31" s="13"/>
      <c r="O31" s="13"/>
    </row>
    <row r="32" spans="1:15">
      <c r="A32" s="6" t="s">
        <v>126</v>
      </c>
      <c r="B32" s="13">
        <v>6</v>
      </c>
      <c r="C32" s="13">
        <v>6</v>
      </c>
      <c r="G32" s="6"/>
      <c r="H32" s="13"/>
      <c r="I32" s="13"/>
      <c r="J32" s="13"/>
      <c r="K32" s="13"/>
      <c r="L32" s="13"/>
      <c r="M32" s="13"/>
      <c r="N32" s="13"/>
      <c r="O32" s="13"/>
    </row>
    <row r="33" spans="1:15">
      <c r="A33" s="6" t="s">
        <v>74</v>
      </c>
      <c r="B33" s="13">
        <v>87</v>
      </c>
      <c r="C33" s="13">
        <v>77</v>
      </c>
      <c r="G33" s="6"/>
      <c r="H33" s="13"/>
      <c r="I33" s="13"/>
      <c r="J33" s="13"/>
      <c r="K33" s="13"/>
      <c r="L33" s="13"/>
      <c r="M33" s="13"/>
      <c r="N33" s="13"/>
      <c r="O33" s="13"/>
    </row>
    <row r="34" spans="1:15">
      <c r="G34" s="6"/>
      <c r="H34" s="13"/>
      <c r="I34" s="13"/>
      <c r="J34" s="13"/>
      <c r="K34" s="13"/>
      <c r="L34" s="13"/>
      <c r="M34" s="13"/>
      <c r="N34" s="13"/>
      <c r="O34" s="13"/>
    </row>
    <row r="35" spans="1:15">
      <c r="G35" s="6"/>
      <c r="H35" s="13"/>
      <c r="I35" s="13"/>
      <c r="J35" s="13"/>
      <c r="K35" s="13"/>
      <c r="L35" s="13"/>
      <c r="M35" s="13"/>
      <c r="N35" s="13"/>
      <c r="O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" workbookViewId="0">
      <selection activeCell="B2" sqref="B2:B51"/>
    </sheetView>
  </sheetViews>
  <sheetFormatPr baseColWidth="10" defaultRowHeight="15"/>
  <cols>
    <col min="3" max="3" width="16" customWidth="1"/>
    <col min="4" max="4" width="26" customWidth="1"/>
    <col min="5" max="5" width="21.140625" customWidth="1"/>
    <col min="6" max="6" width="22.5703125" customWidth="1"/>
    <col min="7" max="7" width="19.42578125" customWidth="1"/>
    <col min="8" max="8" width="22.5703125" customWidth="1"/>
    <col min="9" max="9" width="31.5703125" customWidth="1"/>
    <col min="10" max="10" width="25.5703125" customWidth="1"/>
  </cols>
  <sheetData>
    <row r="1" spans="1:12">
      <c r="A1" s="1" t="s">
        <v>0</v>
      </c>
      <c r="B1" s="1" t="s">
        <v>1</v>
      </c>
      <c r="C1" s="1" t="s">
        <v>72</v>
      </c>
      <c r="D1" s="1" t="s">
        <v>66</v>
      </c>
      <c r="E1" s="1" t="s">
        <v>2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129</v>
      </c>
    </row>
    <row r="2" spans="1:12">
      <c r="A2" s="2" t="s">
        <v>3</v>
      </c>
      <c r="B2" s="3">
        <v>45292</v>
      </c>
      <c r="C2" s="2" t="s">
        <v>4</v>
      </c>
      <c r="D2" s="2" t="s">
        <v>5</v>
      </c>
      <c r="E2" s="2" t="s">
        <v>6</v>
      </c>
      <c r="F2" s="2">
        <v>4</v>
      </c>
      <c r="G2" s="2">
        <v>5</v>
      </c>
      <c r="H2" s="2" t="s">
        <v>7</v>
      </c>
      <c r="I2" s="2">
        <v>2</v>
      </c>
      <c r="J2" s="2">
        <v>2</v>
      </c>
      <c r="K2" s="2" t="str">
        <f t="shared" ref="K2:K33" si="0">YEAR(B2)&amp;"-"&amp;TEXT(MONTH(B2),"00")</f>
        <v>2024-01</v>
      </c>
      <c r="L2" s="2"/>
    </row>
    <row r="3" spans="1:12">
      <c r="A3" s="2" t="s">
        <v>8</v>
      </c>
      <c r="B3" s="3">
        <v>45296</v>
      </c>
      <c r="C3" s="2" t="s">
        <v>9</v>
      </c>
      <c r="D3" s="2" t="s">
        <v>10</v>
      </c>
      <c r="E3" s="2" t="s">
        <v>11</v>
      </c>
      <c r="F3" s="2">
        <v>12</v>
      </c>
      <c r="G3" s="2">
        <v>10</v>
      </c>
      <c r="H3" s="2" t="s">
        <v>12</v>
      </c>
      <c r="I3" s="2">
        <v>1</v>
      </c>
      <c r="J3" s="2">
        <v>0</v>
      </c>
      <c r="K3" s="2" t="str">
        <f t="shared" si="0"/>
        <v>2024-01</v>
      </c>
    </row>
    <row r="4" spans="1:12">
      <c r="A4" s="2" t="s">
        <v>13</v>
      </c>
      <c r="B4" s="3">
        <v>45301</v>
      </c>
      <c r="C4" s="2" t="s">
        <v>14</v>
      </c>
      <c r="D4" s="2" t="s">
        <v>15</v>
      </c>
      <c r="E4" s="2" t="s">
        <v>16</v>
      </c>
      <c r="F4" s="2">
        <v>14</v>
      </c>
      <c r="G4" s="2">
        <v>15</v>
      </c>
      <c r="H4" s="2" t="s">
        <v>7</v>
      </c>
      <c r="I4" s="2">
        <v>1</v>
      </c>
      <c r="J4" s="2">
        <v>1</v>
      </c>
      <c r="K4" s="2" t="str">
        <f t="shared" si="0"/>
        <v>2024-01</v>
      </c>
    </row>
    <row r="5" spans="1:12">
      <c r="A5" s="2" t="s">
        <v>17</v>
      </c>
      <c r="B5" s="3">
        <v>45337</v>
      </c>
      <c r="C5" s="2" t="s">
        <v>4</v>
      </c>
      <c r="D5" s="2" t="s">
        <v>18</v>
      </c>
      <c r="E5" s="2" t="s">
        <v>6</v>
      </c>
      <c r="F5" s="2">
        <v>6</v>
      </c>
      <c r="G5" s="2">
        <v>5</v>
      </c>
      <c r="H5" s="2" t="s">
        <v>12</v>
      </c>
      <c r="I5" s="2">
        <v>3</v>
      </c>
      <c r="J5" s="2">
        <v>2</v>
      </c>
      <c r="K5" s="2" t="str">
        <f t="shared" si="0"/>
        <v>2024-02</v>
      </c>
    </row>
    <row r="6" spans="1:12">
      <c r="A6" s="2" t="s">
        <v>19</v>
      </c>
      <c r="B6" s="3">
        <v>45342</v>
      </c>
      <c r="C6" s="2" t="s">
        <v>9</v>
      </c>
      <c r="D6" s="2" t="s">
        <v>5</v>
      </c>
      <c r="E6" s="2" t="s">
        <v>20</v>
      </c>
      <c r="F6" s="2">
        <v>8</v>
      </c>
      <c r="G6" s="2">
        <v>10</v>
      </c>
      <c r="H6" s="2" t="s">
        <v>7</v>
      </c>
      <c r="I6" s="2">
        <v>2</v>
      </c>
      <c r="J6" s="2">
        <v>2</v>
      </c>
      <c r="K6" s="2" t="str">
        <f t="shared" si="0"/>
        <v>2024-02</v>
      </c>
    </row>
    <row r="7" spans="1:12">
      <c r="A7" s="2" t="s">
        <v>21</v>
      </c>
      <c r="B7" s="3">
        <v>45347</v>
      </c>
      <c r="C7" s="2" t="s">
        <v>14</v>
      </c>
      <c r="D7" s="2" t="s">
        <v>10</v>
      </c>
      <c r="E7" s="2" t="s">
        <v>11</v>
      </c>
      <c r="F7" s="2">
        <v>10</v>
      </c>
      <c r="G7" s="2">
        <v>15</v>
      </c>
      <c r="H7" s="2" t="s">
        <v>7</v>
      </c>
      <c r="I7" s="2">
        <v>1</v>
      </c>
      <c r="J7" s="2">
        <v>1</v>
      </c>
      <c r="K7" s="2" t="str">
        <f t="shared" si="0"/>
        <v>2024-02</v>
      </c>
    </row>
    <row r="8" spans="1:12">
      <c r="A8" s="2" t="s">
        <v>22</v>
      </c>
      <c r="B8" s="3">
        <v>45381</v>
      </c>
      <c r="C8" s="2" t="s">
        <v>4</v>
      </c>
      <c r="D8" s="2" t="s">
        <v>15</v>
      </c>
      <c r="E8" s="2" t="s">
        <v>6</v>
      </c>
      <c r="F8" s="2">
        <v>5</v>
      </c>
      <c r="G8" s="2">
        <v>5</v>
      </c>
      <c r="H8" s="2" t="s">
        <v>7</v>
      </c>
      <c r="I8" s="2">
        <v>2</v>
      </c>
      <c r="J8" s="2">
        <v>1</v>
      </c>
      <c r="K8" s="2" t="str">
        <f t="shared" si="0"/>
        <v>2024-03</v>
      </c>
    </row>
    <row r="9" spans="1:12">
      <c r="A9" s="2" t="s">
        <v>23</v>
      </c>
      <c r="B9" s="3">
        <v>45354</v>
      </c>
      <c r="C9" s="2" t="s">
        <v>9</v>
      </c>
      <c r="D9" s="2" t="s">
        <v>18</v>
      </c>
      <c r="E9" s="2" t="s">
        <v>16</v>
      </c>
      <c r="F9" s="2">
        <v>11</v>
      </c>
      <c r="G9" s="2">
        <v>10</v>
      </c>
      <c r="H9" s="2" t="s">
        <v>12</v>
      </c>
      <c r="I9" s="2">
        <v>1</v>
      </c>
      <c r="J9" s="2">
        <v>1</v>
      </c>
      <c r="K9" s="2" t="str">
        <f t="shared" si="0"/>
        <v>2024-03</v>
      </c>
    </row>
    <row r="10" spans="1:12">
      <c r="A10" s="2" t="s">
        <v>24</v>
      </c>
      <c r="B10" s="3">
        <v>45360</v>
      </c>
      <c r="C10" s="2" t="s">
        <v>14</v>
      </c>
      <c r="D10" s="2" t="s">
        <v>5</v>
      </c>
      <c r="E10" s="2" t="s">
        <v>11</v>
      </c>
      <c r="F10" s="2">
        <v>13</v>
      </c>
      <c r="G10" s="2">
        <v>15</v>
      </c>
      <c r="H10" s="2" t="s">
        <v>7</v>
      </c>
      <c r="I10" s="2">
        <v>1</v>
      </c>
      <c r="J10" s="2">
        <v>0</v>
      </c>
      <c r="K10" s="2" t="str">
        <f t="shared" si="0"/>
        <v>2024-03</v>
      </c>
    </row>
    <row r="11" spans="1:12">
      <c r="A11" s="2" t="s">
        <v>25</v>
      </c>
      <c r="B11" s="3">
        <v>45394</v>
      </c>
      <c r="C11" s="2" t="s">
        <v>4</v>
      </c>
      <c r="D11" s="2" t="s">
        <v>10</v>
      </c>
      <c r="E11" s="2" t="s">
        <v>6</v>
      </c>
      <c r="F11" s="2">
        <v>3</v>
      </c>
      <c r="G11" s="2">
        <v>5</v>
      </c>
      <c r="H11" s="2" t="s">
        <v>7</v>
      </c>
      <c r="I11" s="2">
        <v>3</v>
      </c>
      <c r="J11" s="2">
        <v>3</v>
      </c>
      <c r="K11" s="2" t="str">
        <f t="shared" si="0"/>
        <v>2024-04</v>
      </c>
    </row>
    <row r="12" spans="1:12">
      <c r="A12" s="2" t="s">
        <v>26</v>
      </c>
      <c r="B12" s="3">
        <v>45400</v>
      </c>
      <c r="C12" s="2" t="s">
        <v>9</v>
      </c>
      <c r="D12" s="2" t="s">
        <v>15</v>
      </c>
      <c r="E12" s="2" t="s">
        <v>20</v>
      </c>
      <c r="F12" s="2">
        <v>9</v>
      </c>
      <c r="G12" s="2">
        <v>10</v>
      </c>
      <c r="H12" s="2" t="s">
        <v>7</v>
      </c>
      <c r="I12" s="2">
        <v>2</v>
      </c>
      <c r="J12" s="2">
        <v>2</v>
      </c>
      <c r="K12" s="2" t="str">
        <f t="shared" si="0"/>
        <v>2024-04</v>
      </c>
    </row>
    <row r="13" spans="1:12">
      <c r="A13" s="2" t="s">
        <v>27</v>
      </c>
      <c r="B13" s="3">
        <v>45406</v>
      </c>
      <c r="C13" s="2" t="s">
        <v>14</v>
      </c>
      <c r="D13" s="2" t="s">
        <v>18</v>
      </c>
      <c r="E13" s="2" t="s">
        <v>11</v>
      </c>
      <c r="F13" s="2">
        <v>12</v>
      </c>
      <c r="G13" s="2">
        <v>15</v>
      </c>
      <c r="H13" s="2" t="s">
        <v>7</v>
      </c>
      <c r="I13" s="2">
        <v>1</v>
      </c>
      <c r="J13" s="2">
        <v>1</v>
      </c>
      <c r="K13" s="2" t="str">
        <f t="shared" si="0"/>
        <v>2024-04</v>
      </c>
    </row>
    <row r="14" spans="1:12">
      <c r="A14" s="2" t="s">
        <v>28</v>
      </c>
      <c r="B14" s="3">
        <v>45414</v>
      </c>
      <c r="C14" s="2" t="s">
        <v>4</v>
      </c>
      <c r="D14" s="2" t="s">
        <v>5</v>
      </c>
      <c r="E14" s="2" t="s">
        <v>6</v>
      </c>
      <c r="F14" s="2">
        <v>5</v>
      </c>
      <c r="G14" s="2">
        <v>5</v>
      </c>
      <c r="H14" s="2" t="s">
        <v>7</v>
      </c>
      <c r="I14" s="2">
        <v>2</v>
      </c>
      <c r="J14" s="2">
        <v>2</v>
      </c>
      <c r="K14" s="2" t="str">
        <f t="shared" si="0"/>
        <v>2024-05</v>
      </c>
    </row>
    <row r="15" spans="1:12">
      <c r="A15" s="2" t="s">
        <v>29</v>
      </c>
      <c r="B15" s="3">
        <v>45420</v>
      </c>
      <c r="C15" s="2" t="s">
        <v>9</v>
      </c>
      <c r="D15" s="2" t="s">
        <v>10</v>
      </c>
      <c r="E15" s="2" t="s">
        <v>16</v>
      </c>
      <c r="F15" s="2">
        <v>8</v>
      </c>
      <c r="G15" s="2">
        <v>10</v>
      </c>
      <c r="H15" s="2" t="s">
        <v>7</v>
      </c>
      <c r="I15" s="2">
        <v>1</v>
      </c>
      <c r="J15" s="2">
        <v>1</v>
      </c>
      <c r="K15" s="2" t="str">
        <f t="shared" si="0"/>
        <v>2024-05</v>
      </c>
    </row>
    <row r="16" spans="1:12">
      <c r="A16" s="2" t="s">
        <v>30</v>
      </c>
      <c r="B16" s="3">
        <v>45426</v>
      </c>
      <c r="C16" s="2" t="s">
        <v>14</v>
      </c>
      <c r="D16" s="2" t="s">
        <v>15</v>
      </c>
      <c r="E16" s="2" t="s">
        <v>11</v>
      </c>
      <c r="F16" s="2">
        <v>14</v>
      </c>
      <c r="G16" s="2">
        <v>15</v>
      </c>
      <c r="H16" s="2" t="s">
        <v>7</v>
      </c>
      <c r="I16" s="2">
        <v>1</v>
      </c>
      <c r="J16" s="2">
        <v>1</v>
      </c>
      <c r="K16" s="2" t="str">
        <f t="shared" si="0"/>
        <v>2024-05</v>
      </c>
    </row>
    <row r="17" spans="1:11">
      <c r="A17" s="2" t="s">
        <v>31</v>
      </c>
      <c r="B17" s="3">
        <v>45463</v>
      </c>
      <c r="C17" s="2" t="s">
        <v>4</v>
      </c>
      <c r="D17" s="2" t="s">
        <v>18</v>
      </c>
      <c r="E17" s="2" t="s">
        <v>6</v>
      </c>
      <c r="F17" s="2">
        <v>6</v>
      </c>
      <c r="G17" s="2">
        <v>5</v>
      </c>
      <c r="H17" s="2" t="s">
        <v>12</v>
      </c>
      <c r="I17" s="2">
        <v>3</v>
      </c>
      <c r="J17" s="2">
        <v>2</v>
      </c>
      <c r="K17" s="2" t="str">
        <f t="shared" si="0"/>
        <v>2024-06</v>
      </c>
    </row>
    <row r="18" spans="1:11">
      <c r="A18" s="2" t="s">
        <v>32</v>
      </c>
      <c r="B18" s="3">
        <v>45469</v>
      </c>
      <c r="C18" s="2" t="s">
        <v>9</v>
      </c>
      <c r="D18" s="2" t="s">
        <v>5</v>
      </c>
      <c r="E18" s="2" t="s">
        <v>20</v>
      </c>
      <c r="F18" s="2">
        <v>7</v>
      </c>
      <c r="G18" s="2">
        <v>10</v>
      </c>
      <c r="H18" s="2" t="s">
        <v>7</v>
      </c>
      <c r="I18" s="2">
        <v>2</v>
      </c>
      <c r="J18" s="2">
        <v>2</v>
      </c>
      <c r="K18" s="2" t="str">
        <f t="shared" si="0"/>
        <v>2024-06</v>
      </c>
    </row>
    <row r="19" spans="1:11">
      <c r="A19" s="2" t="s">
        <v>33</v>
      </c>
      <c r="B19" s="3">
        <v>45472</v>
      </c>
      <c r="C19" s="2" t="s">
        <v>14</v>
      </c>
      <c r="D19" s="2" t="s">
        <v>10</v>
      </c>
      <c r="E19" s="2" t="s">
        <v>11</v>
      </c>
      <c r="F19" s="2">
        <v>11</v>
      </c>
      <c r="G19" s="2">
        <v>15</v>
      </c>
      <c r="H19" s="2" t="s">
        <v>7</v>
      </c>
      <c r="I19" s="2">
        <v>1</v>
      </c>
      <c r="J19" s="2">
        <v>1</v>
      </c>
      <c r="K19" s="2" t="str">
        <f t="shared" si="0"/>
        <v>2024-06</v>
      </c>
    </row>
    <row r="20" spans="1:11">
      <c r="A20" s="2" t="s">
        <v>34</v>
      </c>
      <c r="B20" s="3">
        <v>45477</v>
      </c>
      <c r="C20" s="2" t="s">
        <v>4</v>
      </c>
      <c r="D20" s="2" t="s">
        <v>15</v>
      </c>
      <c r="E20" s="2" t="s">
        <v>6</v>
      </c>
      <c r="F20" s="2">
        <v>4</v>
      </c>
      <c r="G20" s="2">
        <v>5</v>
      </c>
      <c r="H20" s="2" t="s">
        <v>7</v>
      </c>
      <c r="I20" s="2">
        <v>2</v>
      </c>
      <c r="J20" s="2">
        <v>2</v>
      </c>
      <c r="K20" s="2" t="str">
        <f t="shared" si="0"/>
        <v>2024-07</v>
      </c>
    </row>
    <row r="21" spans="1:11">
      <c r="A21" s="2" t="s">
        <v>35</v>
      </c>
      <c r="B21" s="3">
        <v>45484</v>
      </c>
      <c r="C21" s="2" t="s">
        <v>9</v>
      </c>
      <c r="D21" s="2" t="s">
        <v>18</v>
      </c>
      <c r="E21" s="2" t="s">
        <v>16</v>
      </c>
      <c r="F21" s="2">
        <v>9</v>
      </c>
      <c r="G21" s="2">
        <v>10</v>
      </c>
      <c r="H21" s="2" t="s">
        <v>7</v>
      </c>
      <c r="I21" s="2">
        <v>2</v>
      </c>
      <c r="J21" s="2">
        <v>2</v>
      </c>
      <c r="K21" s="2" t="str">
        <f t="shared" si="0"/>
        <v>2024-07</v>
      </c>
    </row>
    <row r="22" spans="1:11">
      <c r="A22" s="2" t="s">
        <v>36</v>
      </c>
      <c r="B22" s="3">
        <v>45492</v>
      </c>
      <c r="C22" s="2" t="s">
        <v>14</v>
      </c>
      <c r="D22" s="2" t="s">
        <v>5</v>
      </c>
      <c r="E22" s="2" t="s">
        <v>11</v>
      </c>
      <c r="F22" s="2">
        <v>12</v>
      </c>
      <c r="G22" s="2">
        <v>15</v>
      </c>
      <c r="H22" s="2" t="s">
        <v>7</v>
      </c>
      <c r="I22" s="2">
        <v>1</v>
      </c>
      <c r="J22" s="2">
        <v>1</v>
      </c>
      <c r="K22" s="2" t="str">
        <f t="shared" si="0"/>
        <v>2024-07</v>
      </c>
    </row>
    <row r="23" spans="1:11">
      <c r="A23" s="2" t="s">
        <v>37</v>
      </c>
      <c r="B23" s="3">
        <v>45531</v>
      </c>
      <c r="C23" s="2" t="s">
        <v>4</v>
      </c>
      <c r="D23" s="2" t="s">
        <v>10</v>
      </c>
      <c r="E23" s="2" t="s">
        <v>6</v>
      </c>
      <c r="F23" s="2">
        <v>5</v>
      </c>
      <c r="G23" s="2">
        <v>5</v>
      </c>
      <c r="H23" s="2" t="s">
        <v>7</v>
      </c>
      <c r="I23" s="2">
        <v>3</v>
      </c>
      <c r="J23" s="2">
        <v>3</v>
      </c>
      <c r="K23" s="2" t="str">
        <f t="shared" si="0"/>
        <v>2024-08</v>
      </c>
    </row>
    <row r="24" spans="1:11">
      <c r="A24" s="2" t="s">
        <v>38</v>
      </c>
      <c r="B24" s="3">
        <v>45535</v>
      </c>
      <c r="C24" s="2" t="s">
        <v>9</v>
      </c>
      <c r="D24" s="2" t="s">
        <v>15</v>
      </c>
      <c r="E24" s="2" t="s">
        <v>20</v>
      </c>
      <c r="F24" s="2">
        <v>8</v>
      </c>
      <c r="G24" s="2">
        <v>10</v>
      </c>
      <c r="H24" s="2" t="s">
        <v>7</v>
      </c>
      <c r="I24" s="2">
        <v>2</v>
      </c>
      <c r="J24" s="2">
        <v>2</v>
      </c>
      <c r="K24" s="2" t="str">
        <f t="shared" si="0"/>
        <v>2024-08</v>
      </c>
    </row>
    <row r="25" spans="1:11">
      <c r="A25" s="2" t="s">
        <v>39</v>
      </c>
      <c r="B25" s="3">
        <v>45510</v>
      </c>
      <c r="C25" s="2" t="s">
        <v>14</v>
      </c>
      <c r="D25" s="2" t="s">
        <v>18</v>
      </c>
      <c r="E25" s="2" t="s">
        <v>11</v>
      </c>
      <c r="F25" s="2">
        <v>13</v>
      </c>
      <c r="G25" s="2">
        <v>15</v>
      </c>
      <c r="H25" s="2" t="s">
        <v>7</v>
      </c>
      <c r="I25" s="2">
        <v>1</v>
      </c>
      <c r="J25" s="2">
        <v>1</v>
      </c>
      <c r="K25" s="2" t="str">
        <f t="shared" si="0"/>
        <v>2024-08</v>
      </c>
    </row>
    <row r="26" spans="1:11">
      <c r="A26" s="2" t="s">
        <v>40</v>
      </c>
      <c r="B26" s="3">
        <v>45542</v>
      </c>
      <c r="C26" s="2" t="s">
        <v>4</v>
      </c>
      <c r="D26" s="2" t="s">
        <v>5</v>
      </c>
      <c r="E26" s="2" t="s">
        <v>6</v>
      </c>
      <c r="F26" s="2">
        <v>6</v>
      </c>
      <c r="G26" s="2">
        <v>5</v>
      </c>
      <c r="H26" s="2" t="s">
        <v>12</v>
      </c>
      <c r="I26" s="2">
        <v>2</v>
      </c>
      <c r="J26" s="2">
        <v>1</v>
      </c>
      <c r="K26" s="2" t="str">
        <f t="shared" si="0"/>
        <v>2024-09</v>
      </c>
    </row>
    <row r="27" spans="1:11">
      <c r="A27" s="2" t="s">
        <v>41</v>
      </c>
      <c r="B27" s="3">
        <v>45549</v>
      </c>
      <c r="C27" s="2" t="s">
        <v>9</v>
      </c>
      <c r="D27" s="2" t="s">
        <v>10</v>
      </c>
      <c r="E27" s="2" t="s">
        <v>16</v>
      </c>
      <c r="F27" s="2">
        <v>7</v>
      </c>
      <c r="G27" s="2">
        <v>10</v>
      </c>
      <c r="H27" s="2" t="s">
        <v>7</v>
      </c>
      <c r="I27" s="2">
        <v>2</v>
      </c>
      <c r="J27" s="2">
        <v>2</v>
      </c>
      <c r="K27" s="2" t="str">
        <f t="shared" si="0"/>
        <v>2024-09</v>
      </c>
    </row>
    <row r="28" spans="1:11">
      <c r="A28" s="2" t="s">
        <v>42</v>
      </c>
      <c r="B28" s="3">
        <v>45556</v>
      </c>
      <c r="C28" s="2" t="s">
        <v>14</v>
      </c>
      <c r="D28" s="2" t="s">
        <v>15</v>
      </c>
      <c r="E28" s="2" t="s">
        <v>11</v>
      </c>
      <c r="F28" s="2">
        <v>12</v>
      </c>
      <c r="G28" s="2">
        <v>15</v>
      </c>
      <c r="H28" s="2" t="s">
        <v>7</v>
      </c>
      <c r="I28" s="2">
        <v>1</v>
      </c>
      <c r="J28" s="2">
        <v>1</v>
      </c>
      <c r="K28" s="2" t="str">
        <f t="shared" si="0"/>
        <v>2024-09</v>
      </c>
    </row>
    <row r="29" spans="1:11">
      <c r="A29" s="2" t="s">
        <v>43</v>
      </c>
      <c r="B29" s="3">
        <v>45592</v>
      </c>
      <c r="C29" s="2" t="s">
        <v>4</v>
      </c>
      <c r="D29" s="2" t="s">
        <v>18</v>
      </c>
      <c r="E29" s="2" t="s">
        <v>6</v>
      </c>
      <c r="F29" s="2">
        <v>5</v>
      </c>
      <c r="G29" s="2">
        <v>5</v>
      </c>
      <c r="H29" s="2" t="s">
        <v>7</v>
      </c>
      <c r="I29" s="2">
        <v>3</v>
      </c>
      <c r="J29" s="2">
        <v>2</v>
      </c>
      <c r="K29" s="2" t="str">
        <f t="shared" si="0"/>
        <v>2024-10</v>
      </c>
    </row>
    <row r="30" spans="1:11">
      <c r="A30" s="2" t="s">
        <v>44</v>
      </c>
      <c r="B30" s="3">
        <v>45572</v>
      </c>
      <c r="C30" s="2" t="s">
        <v>9</v>
      </c>
      <c r="D30" s="2" t="s">
        <v>5</v>
      </c>
      <c r="E30" s="2" t="s">
        <v>20</v>
      </c>
      <c r="F30" s="2">
        <v>9</v>
      </c>
      <c r="G30" s="2">
        <v>10</v>
      </c>
      <c r="H30" s="2" t="s">
        <v>7</v>
      </c>
      <c r="I30" s="2">
        <v>2</v>
      </c>
      <c r="J30" s="2">
        <v>2</v>
      </c>
      <c r="K30" s="2" t="str">
        <f t="shared" si="0"/>
        <v>2024-10</v>
      </c>
    </row>
    <row r="31" spans="1:11">
      <c r="A31" s="2" t="s">
        <v>45</v>
      </c>
      <c r="B31" s="3">
        <v>45582</v>
      </c>
      <c r="C31" s="2" t="s">
        <v>14</v>
      </c>
      <c r="D31" s="2" t="s">
        <v>10</v>
      </c>
      <c r="E31" s="2" t="s">
        <v>11</v>
      </c>
      <c r="F31" s="2">
        <v>13</v>
      </c>
      <c r="G31" s="2">
        <v>15</v>
      </c>
      <c r="H31" s="2" t="s">
        <v>7</v>
      </c>
      <c r="I31" s="2">
        <v>1</v>
      </c>
      <c r="J31" s="2">
        <v>1</v>
      </c>
      <c r="K31" s="2" t="str">
        <f t="shared" si="0"/>
        <v>2024-10</v>
      </c>
    </row>
    <row r="32" spans="1:11">
      <c r="A32" s="2" t="s">
        <v>46</v>
      </c>
      <c r="B32" s="3">
        <v>45624</v>
      </c>
      <c r="C32" s="2" t="s">
        <v>4</v>
      </c>
      <c r="D32" s="2" t="s">
        <v>15</v>
      </c>
      <c r="E32" s="2" t="s">
        <v>6</v>
      </c>
      <c r="F32" s="2">
        <v>4</v>
      </c>
      <c r="G32" s="2">
        <v>5</v>
      </c>
      <c r="H32" s="2" t="s">
        <v>7</v>
      </c>
      <c r="I32" s="2">
        <v>2</v>
      </c>
      <c r="J32" s="2">
        <v>2</v>
      </c>
      <c r="K32" s="2" t="str">
        <f t="shared" si="0"/>
        <v>2024-11</v>
      </c>
    </row>
    <row r="33" spans="1:11">
      <c r="A33" s="2" t="s">
        <v>47</v>
      </c>
      <c r="B33" s="3">
        <v>45627</v>
      </c>
      <c r="C33" s="2" t="s">
        <v>9</v>
      </c>
      <c r="D33" s="2" t="s">
        <v>18</v>
      </c>
      <c r="E33" s="2" t="s">
        <v>16</v>
      </c>
      <c r="F33" s="2">
        <v>8</v>
      </c>
      <c r="G33" s="2">
        <v>10</v>
      </c>
      <c r="H33" s="2" t="s">
        <v>7</v>
      </c>
      <c r="I33" s="2">
        <v>2</v>
      </c>
      <c r="J33" s="2">
        <v>2</v>
      </c>
      <c r="K33" s="2" t="str">
        <f t="shared" si="0"/>
        <v>2024-12</v>
      </c>
    </row>
    <row r="34" spans="1:11">
      <c r="A34" s="2" t="s">
        <v>48</v>
      </c>
      <c r="B34" s="3">
        <v>45631</v>
      </c>
      <c r="C34" s="2" t="s">
        <v>14</v>
      </c>
      <c r="D34" s="2" t="s">
        <v>5</v>
      </c>
      <c r="E34" s="2" t="s">
        <v>11</v>
      </c>
      <c r="F34" s="2">
        <v>12</v>
      </c>
      <c r="G34" s="2">
        <v>15</v>
      </c>
      <c r="H34" s="2" t="s">
        <v>7</v>
      </c>
      <c r="I34" s="2">
        <v>1</v>
      </c>
      <c r="J34" s="2">
        <v>1</v>
      </c>
      <c r="K34" s="2" t="str">
        <f t="shared" ref="K34:K51" si="1">YEAR(B34)&amp;"-"&amp;TEXT(MONTH(B34),"00")</f>
        <v>2024-12</v>
      </c>
    </row>
    <row r="35" spans="1:11">
      <c r="A35" s="2" t="s">
        <v>49</v>
      </c>
      <c r="B35" s="3">
        <v>45636</v>
      </c>
      <c r="C35" s="2" t="s">
        <v>4</v>
      </c>
      <c r="D35" s="2" t="s">
        <v>10</v>
      </c>
      <c r="E35" s="2" t="s">
        <v>6</v>
      </c>
      <c r="F35" s="2">
        <v>5</v>
      </c>
      <c r="G35" s="2">
        <v>5</v>
      </c>
      <c r="H35" s="2" t="s">
        <v>7</v>
      </c>
      <c r="I35" s="2">
        <v>3</v>
      </c>
      <c r="J35" s="2">
        <v>3</v>
      </c>
      <c r="K35" s="2" t="str">
        <f t="shared" si="1"/>
        <v>2024-12</v>
      </c>
    </row>
    <row r="36" spans="1:11">
      <c r="A36" s="2" t="s">
        <v>50</v>
      </c>
      <c r="B36" s="3">
        <v>45337</v>
      </c>
      <c r="C36" s="2" t="s">
        <v>9</v>
      </c>
      <c r="D36" s="2" t="s">
        <v>15</v>
      </c>
      <c r="E36" s="2" t="s">
        <v>20</v>
      </c>
      <c r="F36" s="2">
        <v>9</v>
      </c>
      <c r="G36" s="2">
        <v>10</v>
      </c>
      <c r="H36" s="2" t="s">
        <v>7</v>
      </c>
      <c r="I36" s="2">
        <v>2</v>
      </c>
      <c r="J36" s="2">
        <v>2</v>
      </c>
      <c r="K36" s="2" t="str">
        <f t="shared" si="1"/>
        <v>2024-02</v>
      </c>
    </row>
    <row r="37" spans="1:11">
      <c r="A37" s="2" t="s">
        <v>51</v>
      </c>
      <c r="B37" s="3">
        <v>45342</v>
      </c>
      <c r="C37" s="2" t="s">
        <v>14</v>
      </c>
      <c r="D37" s="2" t="s">
        <v>18</v>
      </c>
      <c r="E37" s="2" t="s">
        <v>11</v>
      </c>
      <c r="F37" s="2">
        <v>13</v>
      </c>
      <c r="G37" s="2">
        <v>15</v>
      </c>
      <c r="H37" s="2" t="s">
        <v>7</v>
      </c>
      <c r="I37" s="2">
        <v>1</v>
      </c>
      <c r="J37" s="2">
        <v>1</v>
      </c>
      <c r="K37" s="2" t="str">
        <f t="shared" si="1"/>
        <v>2024-02</v>
      </c>
    </row>
    <row r="38" spans="1:11">
      <c r="A38" s="2" t="s">
        <v>52</v>
      </c>
      <c r="B38" s="3">
        <v>45347</v>
      </c>
      <c r="C38" s="2" t="s">
        <v>4</v>
      </c>
      <c r="D38" s="2" t="s">
        <v>5</v>
      </c>
      <c r="E38" s="2" t="s">
        <v>6</v>
      </c>
      <c r="F38" s="2">
        <v>4</v>
      </c>
      <c r="G38" s="2">
        <v>5</v>
      </c>
      <c r="H38" s="2" t="s">
        <v>7</v>
      </c>
      <c r="I38" s="2">
        <v>2</v>
      </c>
      <c r="J38" s="2">
        <v>2</v>
      </c>
      <c r="K38" s="2" t="str">
        <f t="shared" si="1"/>
        <v>2024-02</v>
      </c>
    </row>
    <row r="39" spans="1:11">
      <c r="A39" s="2" t="s">
        <v>53</v>
      </c>
      <c r="B39" s="3">
        <v>45381</v>
      </c>
      <c r="C39" s="2" t="s">
        <v>9</v>
      </c>
      <c r="D39" s="2" t="s">
        <v>10</v>
      </c>
      <c r="E39" s="2" t="s">
        <v>11</v>
      </c>
      <c r="F39" s="2">
        <v>11</v>
      </c>
      <c r="G39" s="2">
        <v>10</v>
      </c>
      <c r="H39" s="2" t="s">
        <v>12</v>
      </c>
      <c r="I39" s="2">
        <v>1</v>
      </c>
      <c r="J39" s="2">
        <v>0</v>
      </c>
      <c r="K39" s="2" t="str">
        <f t="shared" si="1"/>
        <v>2024-03</v>
      </c>
    </row>
    <row r="40" spans="1:11">
      <c r="A40" s="2" t="s">
        <v>54</v>
      </c>
      <c r="B40" s="3">
        <v>45354</v>
      </c>
      <c r="C40" s="2" t="s">
        <v>14</v>
      </c>
      <c r="D40" s="2" t="s">
        <v>15</v>
      </c>
      <c r="E40" s="2" t="s">
        <v>16</v>
      </c>
      <c r="F40" s="2">
        <v>13</v>
      </c>
      <c r="G40" s="2">
        <v>15</v>
      </c>
      <c r="H40" s="2" t="s">
        <v>7</v>
      </c>
      <c r="I40" s="2">
        <v>1</v>
      </c>
      <c r="J40" s="2">
        <v>1</v>
      </c>
      <c r="K40" s="2" t="str">
        <f t="shared" si="1"/>
        <v>2024-03</v>
      </c>
    </row>
    <row r="41" spans="1:11">
      <c r="A41" s="2" t="s">
        <v>55</v>
      </c>
      <c r="B41" s="3">
        <v>45360</v>
      </c>
      <c r="C41" s="2" t="s">
        <v>4</v>
      </c>
      <c r="D41" s="2" t="s">
        <v>18</v>
      </c>
      <c r="E41" s="2" t="s">
        <v>6</v>
      </c>
      <c r="F41" s="2">
        <v>6</v>
      </c>
      <c r="G41" s="2">
        <v>5</v>
      </c>
      <c r="H41" s="2" t="s">
        <v>12</v>
      </c>
      <c r="I41" s="2">
        <v>3</v>
      </c>
      <c r="J41" s="2">
        <v>2</v>
      </c>
      <c r="K41" s="2" t="str">
        <f t="shared" si="1"/>
        <v>2024-03</v>
      </c>
    </row>
    <row r="42" spans="1:11">
      <c r="A42" s="2" t="s">
        <v>56</v>
      </c>
      <c r="B42" s="3">
        <v>45394</v>
      </c>
      <c r="C42" s="2" t="s">
        <v>9</v>
      </c>
      <c r="D42" s="2" t="s">
        <v>5</v>
      </c>
      <c r="E42" s="2" t="s">
        <v>20</v>
      </c>
      <c r="F42" s="2">
        <v>8</v>
      </c>
      <c r="G42" s="2">
        <v>10</v>
      </c>
      <c r="H42" s="2" t="s">
        <v>7</v>
      </c>
      <c r="I42" s="2">
        <v>2</v>
      </c>
      <c r="J42" s="2">
        <v>2</v>
      </c>
      <c r="K42" s="2" t="str">
        <f t="shared" si="1"/>
        <v>2024-04</v>
      </c>
    </row>
    <row r="43" spans="1:11">
      <c r="A43" s="2" t="s">
        <v>57</v>
      </c>
      <c r="B43" s="3">
        <v>45400</v>
      </c>
      <c r="C43" s="2" t="s">
        <v>14</v>
      </c>
      <c r="D43" s="2" t="s">
        <v>10</v>
      </c>
      <c r="E43" s="2" t="s">
        <v>11</v>
      </c>
      <c r="F43" s="2">
        <v>11</v>
      </c>
      <c r="G43" s="2">
        <v>15</v>
      </c>
      <c r="H43" s="2" t="s">
        <v>7</v>
      </c>
      <c r="I43" s="2">
        <v>1</v>
      </c>
      <c r="J43" s="2">
        <v>1</v>
      </c>
      <c r="K43" s="2" t="str">
        <f t="shared" si="1"/>
        <v>2024-04</v>
      </c>
    </row>
    <row r="44" spans="1:11">
      <c r="A44" s="2" t="s">
        <v>58</v>
      </c>
      <c r="B44" s="3">
        <v>45406</v>
      </c>
      <c r="C44" s="2" t="s">
        <v>4</v>
      </c>
      <c r="D44" s="2" t="s">
        <v>15</v>
      </c>
      <c r="E44" s="2" t="s">
        <v>6</v>
      </c>
      <c r="F44" s="2">
        <v>4</v>
      </c>
      <c r="G44" s="2">
        <v>5</v>
      </c>
      <c r="H44" s="2" t="s">
        <v>7</v>
      </c>
      <c r="I44" s="2">
        <v>2</v>
      </c>
      <c r="J44" s="2">
        <v>2</v>
      </c>
      <c r="K44" s="2" t="str">
        <f t="shared" si="1"/>
        <v>2024-04</v>
      </c>
    </row>
    <row r="45" spans="1:11">
      <c r="A45" s="2" t="s">
        <v>59</v>
      </c>
      <c r="B45" s="3">
        <v>45414</v>
      </c>
      <c r="C45" s="2" t="s">
        <v>9</v>
      </c>
      <c r="D45" s="2" t="s">
        <v>18</v>
      </c>
      <c r="E45" s="2" t="s">
        <v>16</v>
      </c>
      <c r="F45" s="2">
        <v>9</v>
      </c>
      <c r="G45" s="2">
        <v>10</v>
      </c>
      <c r="H45" s="2" t="s">
        <v>7</v>
      </c>
      <c r="I45" s="2">
        <v>2</v>
      </c>
      <c r="J45" s="2">
        <v>2</v>
      </c>
      <c r="K45" s="2" t="str">
        <f t="shared" si="1"/>
        <v>2024-05</v>
      </c>
    </row>
    <row r="46" spans="1:11">
      <c r="A46" s="2" t="s">
        <v>60</v>
      </c>
      <c r="B46" s="3">
        <v>45420</v>
      </c>
      <c r="C46" s="2" t="s">
        <v>14</v>
      </c>
      <c r="D46" s="2" t="s">
        <v>5</v>
      </c>
      <c r="E46" s="2" t="s">
        <v>11</v>
      </c>
      <c r="F46" s="2">
        <v>12</v>
      </c>
      <c r="G46" s="2">
        <v>15</v>
      </c>
      <c r="H46" s="2" t="s">
        <v>7</v>
      </c>
      <c r="I46" s="2">
        <v>1</v>
      </c>
      <c r="J46" s="2">
        <v>1</v>
      </c>
      <c r="K46" s="2" t="str">
        <f t="shared" si="1"/>
        <v>2024-05</v>
      </c>
    </row>
    <row r="47" spans="1:11">
      <c r="A47" s="2" t="s">
        <v>61</v>
      </c>
      <c r="B47" s="3">
        <v>45426</v>
      </c>
      <c r="C47" s="2" t="s">
        <v>4</v>
      </c>
      <c r="D47" s="2" t="s">
        <v>10</v>
      </c>
      <c r="E47" s="2" t="s">
        <v>6</v>
      </c>
      <c r="F47" s="2">
        <v>5</v>
      </c>
      <c r="G47" s="2">
        <v>5</v>
      </c>
      <c r="H47" s="2" t="s">
        <v>7</v>
      </c>
      <c r="I47" s="2">
        <v>3</v>
      </c>
      <c r="J47" s="2">
        <v>3</v>
      </c>
      <c r="K47" s="2" t="str">
        <f t="shared" si="1"/>
        <v>2024-05</v>
      </c>
    </row>
    <row r="48" spans="1:11">
      <c r="A48" s="2" t="s">
        <v>62</v>
      </c>
      <c r="B48" s="3">
        <v>45463</v>
      </c>
      <c r="C48" s="2" t="s">
        <v>9</v>
      </c>
      <c r="D48" s="2" t="s">
        <v>15</v>
      </c>
      <c r="E48" s="2" t="s">
        <v>20</v>
      </c>
      <c r="F48" s="2">
        <v>8</v>
      </c>
      <c r="G48" s="2">
        <v>10</v>
      </c>
      <c r="H48" s="2" t="s">
        <v>7</v>
      </c>
      <c r="I48" s="2">
        <v>2</v>
      </c>
      <c r="J48" s="2">
        <v>2</v>
      </c>
      <c r="K48" s="2" t="str">
        <f t="shared" si="1"/>
        <v>2024-06</v>
      </c>
    </row>
    <row r="49" spans="1:11">
      <c r="A49" s="2" t="s">
        <v>63</v>
      </c>
      <c r="B49" s="3">
        <v>45469</v>
      </c>
      <c r="C49" s="2" t="s">
        <v>14</v>
      </c>
      <c r="D49" s="2" t="s">
        <v>18</v>
      </c>
      <c r="E49" s="2" t="s">
        <v>11</v>
      </c>
      <c r="F49" s="2">
        <v>13</v>
      </c>
      <c r="G49" s="2">
        <v>15</v>
      </c>
      <c r="H49" s="2" t="s">
        <v>7</v>
      </c>
      <c r="I49" s="2">
        <v>1</v>
      </c>
      <c r="J49" s="2">
        <v>1</v>
      </c>
      <c r="K49" s="2" t="str">
        <f t="shared" si="1"/>
        <v>2024-06</v>
      </c>
    </row>
    <row r="50" spans="1:11">
      <c r="A50" s="2" t="s">
        <v>64</v>
      </c>
      <c r="B50" s="3">
        <v>45472</v>
      </c>
      <c r="C50" s="2" t="s">
        <v>4</v>
      </c>
      <c r="D50" s="2" t="s">
        <v>5</v>
      </c>
      <c r="E50" s="2" t="s">
        <v>6</v>
      </c>
      <c r="F50" s="2">
        <v>4</v>
      </c>
      <c r="G50" s="2">
        <v>5</v>
      </c>
      <c r="H50" s="2" t="s">
        <v>7</v>
      </c>
      <c r="I50" s="2">
        <v>2</v>
      </c>
      <c r="J50" s="2">
        <v>2</v>
      </c>
      <c r="K50" s="2" t="str">
        <f t="shared" si="1"/>
        <v>2024-06</v>
      </c>
    </row>
    <row r="51" spans="1:11">
      <c r="A51" s="2" t="s">
        <v>65</v>
      </c>
      <c r="B51" s="3">
        <v>45477</v>
      </c>
      <c r="C51" s="2" t="s">
        <v>9</v>
      </c>
      <c r="D51" s="2" t="s">
        <v>10</v>
      </c>
      <c r="E51" s="2" t="s">
        <v>11</v>
      </c>
      <c r="F51" s="2">
        <v>12</v>
      </c>
      <c r="G51" s="2">
        <v>10</v>
      </c>
      <c r="H51" s="2" t="s">
        <v>12</v>
      </c>
      <c r="I51" s="2">
        <v>1</v>
      </c>
      <c r="J51" s="2">
        <v>0</v>
      </c>
      <c r="K51" s="2" t="str">
        <f t="shared" si="1"/>
        <v>2024-07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9" sqref="E19"/>
    </sheetView>
  </sheetViews>
  <sheetFormatPr baseColWidth="10" defaultRowHeight="15"/>
  <cols>
    <col min="1" max="1" width="35.28515625" customWidth="1"/>
  </cols>
  <sheetData>
    <row r="1" spans="1:3">
      <c r="A1" t="s">
        <v>75</v>
      </c>
      <c r="B1" t="s">
        <v>76</v>
      </c>
      <c r="C1" t="s">
        <v>77</v>
      </c>
    </row>
    <row r="2" spans="1:3">
      <c r="A2" t="s">
        <v>78</v>
      </c>
      <c r="B2" s="7">
        <v>0.95</v>
      </c>
      <c r="C2" t="s">
        <v>83</v>
      </c>
    </row>
    <row r="3" spans="1:3">
      <c r="A3" t="s">
        <v>79</v>
      </c>
      <c r="B3" s="7">
        <v>0.9</v>
      </c>
      <c r="C3" t="s">
        <v>83</v>
      </c>
    </row>
    <row r="4" spans="1:3">
      <c r="A4" t="s">
        <v>82</v>
      </c>
      <c r="B4">
        <v>10</v>
      </c>
      <c r="C4" t="s">
        <v>84</v>
      </c>
    </row>
    <row r="5" spans="1:3">
      <c r="A5" t="s">
        <v>81</v>
      </c>
      <c r="B5">
        <v>20</v>
      </c>
      <c r="C5" t="s">
        <v>84</v>
      </c>
    </row>
    <row r="6" spans="1:3">
      <c r="A6" t="s">
        <v>80</v>
      </c>
      <c r="B6">
        <v>20</v>
      </c>
      <c r="C6" t="s">
        <v>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opLeftCell="A5" workbookViewId="0">
      <selection activeCell="F13" sqref="F13"/>
    </sheetView>
  </sheetViews>
  <sheetFormatPr baseColWidth="10" defaultRowHeight="15"/>
  <cols>
    <col min="1" max="1" width="17.140625" customWidth="1"/>
    <col min="2" max="2" width="18" customWidth="1"/>
    <col min="5" max="5" width="30.7109375" customWidth="1"/>
    <col min="6" max="6" width="15.5703125" customWidth="1"/>
    <col min="7" max="7" width="31.5703125" customWidth="1"/>
    <col min="8" max="8" width="15.5703125" customWidth="1"/>
    <col min="9" max="9" width="11.5703125" customWidth="1"/>
  </cols>
  <sheetData>
    <row r="2" spans="1:12">
      <c r="A2" s="29" t="s">
        <v>78</v>
      </c>
      <c r="B2" s="29"/>
      <c r="D2" t="s">
        <v>85</v>
      </c>
      <c r="G2" t="s">
        <v>86</v>
      </c>
      <c r="H2" t="s">
        <v>110</v>
      </c>
    </row>
    <row r="3" spans="1:12">
      <c r="A3" s="30">
        <f>SUMPRODUCT((DONNEES!H2:H51="oui")*1)/COUNTA(DONNEES!A2:A51)</f>
        <v>0.84</v>
      </c>
      <c r="B3" s="30"/>
      <c r="D3" s="10">
        <f>SUM(DONNEES!J2:J51)/SUM(DONNEES!I2:I51)</f>
        <v>0.88505747126436785</v>
      </c>
      <c r="G3" t="s">
        <v>87</v>
      </c>
      <c r="H3" s="8">
        <f>COUNTIF(DONNEES!C2:C51,"Critique")</f>
        <v>17</v>
      </c>
    </row>
    <row r="4" spans="1:12">
      <c r="G4" t="s">
        <v>88</v>
      </c>
      <c r="H4" s="8">
        <f>COUNTIF(DONNEES!C2:C51,"Majeur")</f>
        <v>17</v>
      </c>
    </row>
    <row r="5" spans="1:12">
      <c r="G5" t="s">
        <v>14</v>
      </c>
      <c r="H5" s="8">
        <f>COUNTIF(DONNEES!C2:C51,"Mineur")</f>
        <v>16</v>
      </c>
    </row>
    <row r="9" spans="1:12" ht="18">
      <c r="A9" s="11" t="s">
        <v>89</v>
      </c>
      <c r="E9" s="11" t="s">
        <v>106</v>
      </c>
      <c r="J9" s="11" t="s">
        <v>107</v>
      </c>
    </row>
    <row r="11" spans="1:12" ht="30">
      <c r="A11" t="s">
        <v>90</v>
      </c>
      <c r="E11" s="26" t="s">
        <v>1</v>
      </c>
      <c r="F11" s="27" t="s">
        <v>93</v>
      </c>
      <c r="G11" s="27" t="s">
        <v>113</v>
      </c>
      <c r="H11" s="28" t="s">
        <v>114</v>
      </c>
      <c r="J11" s="1" t="s">
        <v>1</v>
      </c>
      <c r="K11" s="1" t="s">
        <v>108</v>
      </c>
      <c r="L11" s="1" t="s">
        <v>109</v>
      </c>
    </row>
    <row r="12" spans="1:12">
      <c r="E12" s="18" t="s">
        <v>94</v>
      </c>
      <c r="F12" s="19">
        <f>SUMPRODUCT((MONTH(DONNEES!B2:B51)=1)*(YEAR(DONNEES!B2:B51)=2024)*(DONNEES!H2:H51="Oui"))</f>
        <v>2</v>
      </c>
      <c r="G12" s="20">
        <f>KPIS!$F12/SUM(F12:F23)</f>
        <v>4.7619047619047616E-2</v>
      </c>
      <c r="H12" s="21">
        <v>0.95</v>
      </c>
      <c r="J12" s="2" t="s">
        <v>94</v>
      </c>
      <c r="K12" s="12">
        <f>SUMPRODUCT((MONTH(DONNEES!B2:B51)=1)*(YEAR(DONNEES!B2:B51)=2024)*(DONNEES!I2:I51))</f>
        <v>4</v>
      </c>
      <c r="L12" s="12">
        <f>SUMPRODUCT((MONTH(DONNEES!B2:B51)=1)*(YEAR(DONNEES!B2:B51)=2024)*(DONNEES!J2:J51))</f>
        <v>3</v>
      </c>
    </row>
    <row r="13" spans="1:12" ht="30">
      <c r="A13" s="1" t="s">
        <v>91</v>
      </c>
      <c r="B13" s="1" t="s">
        <v>92</v>
      </c>
      <c r="C13" s="1" t="s">
        <v>93</v>
      </c>
      <c r="E13" s="22" t="s">
        <v>95</v>
      </c>
      <c r="F13" s="23">
        <f>SUMPRODUCT((MONTH(DONNEES!B2:B51)=2)*(YEAR(DONNEES!B2:B51)=2024)*(DONNEES!H2:H51="Oui"))</f>
        <v>5</v>
      </c>
      <c r="G13" s="24">
        <f>KPIS!$F13/SUM(F12:F23)</f>
        <v>0.11904761904761904</v>
      </c>
      <c r="H13" s="25">
        <v>0.95</v>
      </c>
      <c r="J13" s="2" t="s">
        <v>95</v>
      </c>
      <c r="K13" s="12">
        <f>SUMPRODUCT((MONTH(DONNEES!B2:B51)=2)*(YEAR(DONNEES!B2:B51)=2024)*(DONNEES!I2:I51))</f>
        <v>11</v>
      </c>
      <c r="L13" s="12">
        <f>SUMPRODUCT((MONTH(DONNEES!B2:B51)=2)*(YEAR(DONNEES!B2:B51)=2024)*(DONNEES!J2:J51))</f>
        <v>10</v>
      </c>
    </row>
    <row r="14" spans="1:12">
      <c r="A14" s="2" t="s">
        <v>5</v>
      </c>
      <c r="B14" s="2" t="s">
        <v>6</v>
      </c>
      <c r="C14" s="12">
        <f>COUNTIFS(DONNEES!D2:D51,"Qualité",DONNEES!E2:E51,"Processus")</f>
        <v>5</v>
      </c>
      <c r="E14" s="18" t="s">
        <v>96</v>
      </c>
      <c r="F14" s="19">
        <f>SUMPRODUCT((MONTH(DONNEES!B2:B51)=3)*(YEAR(DONNEES!B2:B51)=2024)*(DONNEES!H2:H51="Oui"))</f>
        <v>3</v>
      </c>
      <c r="G14" s="20">
        <f>KPIS!$F14/SUM(F12:F23)</f>
        <v>7.1428571428571425E-2</v>
      </c>
      <c r="H14" s="21">
        <v>0.95</v>
      </c>
      <c r="J14" s="2" t="s">
        <v>96</v>
      </c>
      <c r="K14" s="12">
        <f>SUMPRODUCT((MONTH(DONNEES!B2:B51)=3)*(YEAR(DONNEES!B2:B51)=2024)*(DONNEES!I2:I51))</f>
        <v>9</v>
      </c>
      <c r="L14" s="12">
        <f>SUMPRODUCT((MONTH(DONNEES!B2:B51)=3)*(YEAR(DONNEES!B2:B51)=2024)*(DONNEES!J2:J51))</f>
        <v>5</v>
      </c>
    </row>
    <row r="15" spans="1:12">
      <c r="A15" s="2" t="s">
        <v>5</v>
      </c>
      <c r="B15" s="2" t="s">
        <v>20</v>
      </c>
      <c r="C15" s="12">
        <f>COUNTIFS(DONNEES!D2:D51,"Qualité",DONNEES!E2:E51,"Matériel")</f>
        <v>4</v>
      </c>
      <c r="E15" s="22" t="s">
        <v>97</v>
      </c>
      <c r="F15" s="23">
        <f>SUMPRODUCT((MONTH(DONNEES!B2:B51)=4)*(YEAR(DONNEES!B2:B51)=2024)*(DONNEES!H2:H51="Oui"))</f>
        <v>6</v>
      </c>
      <c r="G15" s="24">
        <f>KPIS!$F15/SUM(F12:F23)</f>
        <v>0.14285714285714285</v>
      </c>
      <c r="H15" s="25">
        <v>0.95</v>
      </c>
      <c r="J15" s="2" t="s">
        <v>97</v>
      </c>
      <c r="K15" s="12">
        <f>SUMPRODUCT((MONTH(DONNEES!B2:B51)=4)*(YEAR(DONNEES!B2:B51)=2024)*(DONNEES!I2:I51))</f>
        <v>11</v>
      </c>
      <c r="L15" s="12">
        <f>SUMPRODUCT((MONTH(DONNEES!B2:B51)=4)*(YEAR(DONNEES!B2:B51)=2024)*(DONNEES!J2:J51))</f>
        <v>11</v>
      </c>
    </row>
    <row r="16" spans="1:12">
      <c r="A16" s="2" t="s">
        <v>5</v>
      </c>
      <c r="B16" s="2" t="s">
        <v>11</v>
      </c>
      <c r="C16" s="12">
        <f>COUNTIFS(DONNEES!D2:D51,"Qualité",DONNEES!E2:E51,"Compétence")</f>
        <v>4</v>
      </c>
      <c r="E16" s="18" t="s">
        <v>98</v>
      </c>
      <c r="F16" s="19">
        <f>SUMPRODUCT((MONTH(DONNEES!B2:B51)=5)*(YEAR(DONNEES!B2:B51)=2024)*(DONNEES!H2:H51="Oui"))</f>
        <v>6</v>
      </c>
      <c r="G16" s="20">
        <f>KPIS!$F16/SUM(F12:F23)</f>
        <v>0.14285714285714285</v>
      </c>
      <c r="H16" s="21">
        <v>0.95</v>
      </c>
      <c r="J16" s="2" t="s">
        <v>98</v>
      </c>
      <c r="K16" s="12">
        <f>SUMPRODUCT((MONTH(DONNEES!B2:B51)=5)*(YEAR(DONNEES!B2:B51)=2024)*(DONNEES!I2:I51))</f>
        <v>10</v>
      </c>
      <c r="L16" s="12">
        <f>SUMPRODUCT((MONTH(DONNEES!B2:B51)=5)*(YEAR(DONNEES!B2:B51)=2024)*(DONNEES!J2:J51))</f>
        <v>10</v>
      </c>
    </row>
    <row r="17" spans="1:12">
      <c r="A17" s="2" t="s">
        <v>10</v>
      </c>
      <c r="B17" s="2" t="s">
        <v>6</v>
      </c>
      <c r="C17" s="12">
        <f>COUNTIFS(DONNEES!D2:D51,"Sécurité",DONNEES!E2:E51,"Processus")</f>
        <v>4</v>
      </c>
      <c r="E17" s="22" t="s">
        <v>99</v>
      </c>
      <c r="F17" s="23">
        <f>SUMPRODUCT((MONTH(DONNEES!B2:B51)=6)*(YEAR(DONNEES!B2:B51)=2024)*(DONNEES!H2:H51="Oui"))</f>
        <v>5</v>
      </c>
      <c r="G17" s="24">
        <f>KPIS!$F17/SUM(F12:F23)</f>
        <v>0.11904761904761904</v>
      </c>
      <c r="H17" s="25">
        <v>0.95</v>
      </c>
      <c r="J17" s="2" t="s">
        <v>99</v>
      </c>
      <c r="K17" s="12">
        <f>SUMPRODUCT((MONTH(DONNEES!B2:B51)=6)*(YEAR(DONNEES!B2:B51)=2024)*(DONNEES!I2:I51))</f>
        <v>11</v>
      </c>
      <c r="L17" s="12">
        <f>SUMPRODUCT((MONTH(DONNEES!B2:B51)=6)*(YEAR(DONNEES!B2:B51)=2024)*(DONNEES!J2:J51))</f>
        <v>10</v>
      </c>
    </row>
    <row r="18" spans="1:12">
      <c r="A18" s="2" t="s">
        <v>10</v>
      </c>
      <c r="B18" s="2" t="s">
        <v>16</v>
      </c>
      <c r="C18" s="12">
        <f>COUNTIFS(DONNEES!D2:D51,"Sécurité",DONNEES!E2:E51,"Fournisseur")</f>
        <v>2</v>
      </c>
      <c r="E18" s="18" t="s">
        <v>100</v>
      </c>
      <c r="F18" s="19">
        <f>SUMPRODUCT((MONTH(DONNEES!B2:B51)=7)*(YEAR(DONNEES!B2:B51)=2024)*(DONNEES!H2:H51="Oui"))</f>
        <v>3</v>
      </c>
      <c r="G18" s="20">
        <f>KPIS!$F18/SUM(F12:F23)</f>
        <v>7.1428571428571425E-2</v>
      </c>
      <c r="H18" s="21">
        <v>0.95</v>
      </c>
      <c r="J18" s="2" t="s">
        <v>100</v>
      </c>
      <c r="K18" s="12">
        <f>SUMPRODUCT((MONTH(DONNEES!B2:B51)=7)*(YEAR(DONNEES!B2:B51)=2024)*(DONNEES!I2:I51))</f>
        <v>6</v>
      </c>
      <c r="L18" s="12">
        <f>SUMPRODUCT((MONTH(DONNEES!B2:B51)=7)*(YEAR(DONNEES!B2:B51)=2024)*(DONNEES!J2:J51))</f>
        <v>5</v>
      </c>
    </row>
    <row r="19" spans="1:12">
      <c r="A19" s="2" t="s">
        <v>10</v>
      </c>
      <c r="B19" s="2" t="s">
        <v>11</v>
      </c>
      <c r="C19" s="12">
        <f>COUNTIFS(DONNEES!D2:D51,"Sécurité",DONNEES!E2:E51,"Compétence")</f>
        <v>7</v>
      </c>
      <c r="E19" s="22" t="s">
        <v>101</v>
      </c>
      <c r="F19" s="23">
        <f>SUMPRODUCT((MONTH(DONNEES!B2:B51)=8)*(YEAR(DONNEES!B2:B51)=2024)*(DONNEES!H2:H51="Oui"))</f>
        <v>3</v>
      </c>
      <c r="G19" s="24">
        <f>KPIS!$F19/SUM(F12:F23)</f>
        <v>7.1428571428571425E-2</v>
      </c>
      <c r="H19" s="25">
        <v>0.95</v>
      </c>
      <c r="J19" s="2" t="s">
        <v>101</v>
      </c>
      <c r="K19" s="12">
        <f>SUMPRODUCT((MONTH(DONNEES!B2:B51)=8)*(YEAR(DONNEES!B2:B51)=2024)*(DONNEES!I2:I51))</f>
        <v>6</v>
      </c>
      <c r="L19" s="12">
        <f>SUMPRODUCT((MONTH(DONNEES!B2:B51)=8)*(YEAR(DONNEES!B2:B51)=2024)*(DONNEES!J2:J51))</f>
        <v>6</v>
      </c>
    </row>
    <row r="20" spans="1:12">
      <c r="A20" s="2" t="s">
        <v>18</v>
      </c>
      <c r="B20" s="2" t="s">
        <v>6</v>
      </c>
      <c r="C20" s="12">
        <f>COUNTIFS(DONNEES!D2:D51,"Environnement",DONNEES!E2:E51,"Processus")</f>
        <v>4</v>
      </c>
      <c r="E20" s="18" t="s">
        <v>102</v>
      </c>
      <c r="F20" s="19">
        <f>SUMPRODUCT((MONTH(DONNEES!B2:B51)=9)*(YEAR(DONNEES!B2:B51)=2024)*(DONNEES!H2:H51="Oui"))</f>
        <v>2</v>
      </c>
      <c r="G20" s="20">
        <f>KPIS!$F20/SUM(F12:F23)</f>
        <v>4.7619047619047616E-2</v>
      </c>
      <c r="H20" s="21">
        <v>0.95</v>
      </c>
      <c r="J20" s="2" t="s">
        <v>102</v>
      </c>
      <c r="K20" s="12">
        <f>SUMPRODUCT((MONTH(DONNEES!B2:B51)=9)*(YEAR(DONNEES!B2:B51)=2024)*(DONNEES!I2:I51))</f>
        <v>5</v>
      </c>
      <c r="L20" s="12">
        <f>SUMPRODUCT((MONTH(DONNEES!B2:B51)=9)*(YEAR(DONNEES!B2:B51)=2024)*(DONNEES!J2:J51))</f>
        <v>4</v>
      </c>
    </row>
    <row r="21" spans="1:12">
      <c r="A21" s="2" t="s">
        <v>18</v>
      </c>
      <c r="B21" s="2" t="s">
        <v>16</v>
      </c>
      <c r="C21" s="12">
        <f>COUNTIFS(DONNEES!D2:D51,"Environnement",DONNEES!E2:E51,"Fournisseur")</f>
        <v>4</v>
      </c>
      <c r="E21" s="22" t="s">
        <v>103</v>
      </c>
      <c r="F21" s="23">
        <f>SUMPRODUCT((MONTH(DONNEES!B2:B51)=10)*(YEAR(DONNEES!B2:B51)=2024)*(DONNEES!H2:H51="Oui"))</f>
        <v>3</v>
      </c>
      <c r="G21" s="24">
        <f>KPIS!$F21/SUM(F12:F23)</f>
        <v>7.1428571428571425E-2</v>
      </c>
      <c r="H21" s="25">
        <v>0.95</v>
      </c>
      <c r="J21" s="2" t="s">
        <v>103</v>
      </c>
      <c r="K21" s="12">
        <f>SUMPRODUCT((MONTH(DONNEES!B2:B51)=10)*(YEAR(DONNEES!B2:B51)=2024)*(DONNEES!I2:I51))</f>
        <v>6</v>
      </c>
      <c r="L21" s="12">
        <f>SUMPRODUCT((MONTH(DONNEES!B2:B51)=10)*(YEAR(DONNEES!B2:B51)=2024)*(DONNEES!J2:J51))</f>
        <v>5</v>
      </c>
    </row>
    <row r="22" spans="1:12">
      <c r="A22" s="2" t="s">
        <v>18</v>
      </c>
      <c r="B22" s="2" t="s">
        <v>11</v>
      </c>
      <c r="C22" s="12">
        <f>COUNTIFS(DONNEES!D2:D51,"Environnement",DONNEES!E2:E51,"Compétence")</f>
        <v>4</v>
      </c>
      <c r="E22" s="4" t="s">
        <v>104</v>
      </c>
      <c r="F22" s="14">
        <f>SUMPRODUCT((MONTH(DONNEES!B2:B51)=11)*(YEAR(DONNEES!B2:B51)=2024)*(DONNEES!H2:H51="Oui"))</f>
        <v>1</v>
      </c>
      <c r="G22" s="17">
        <f>KPIS!$F22/SUM(F12:F23)</f>
        <v>2.3809523809523808E-2</v>
      </c>
      <c r="H22" s="16">
        <v>0.95</v>
      </c>
      <c r="J22" s="2" t="s">
        <v>104</v>
      </c>
      <c r="K22" s="12">
        <f>SUMPRODUCT((MONTH(DONNEES!B2:B51)=11)*(YEAR(DONNEES!B2:B51)=2024)*(DONNEES!I2:I51))</f>
        <v>2</v>
      </c>
      <c r="L22" s="12">
        <f>SUMPRODUCT((MONTH(DONNEES!B2:B51)=11)*(YEAR(DONNEES!B2:B51)=2024)*(DONNEES!J2:J51))</f>
        <v>2</v>
      </c>
    </row>
    <row r="23" spans="1:12">
      <c r="A23" s="2" t="s">
        <v>15</v>
      </c>
      <c r="B23" s="2" t="s">
        <v>6</v>
      </c>
      <c r="C23" s="12">
        <f>COUNTIFS(DONNEES!D2:D51,"Hygiène",DONNEES!E2:E51,"Processus")</f>
        <v>4</v>
      </c>
      <c r="E23" s="2" t="s">
        <v>105</v>
      </c>
      <c r="F23" s="12">
        <f>SUMPRODUCT((MONTH(DONNEES!B2:B51)=12)*(YEAR(DONNEES!B2:B51)=2024)*(DONNEES!H2:H51="Oui"))</f>
        <v>3</v>
      </c>
      <c r="G23" s="15">
        <f>F23/SUM(F12:F23)</f>
        <v>7.1428571428571425E-2</v>
      </c>
      <c r="H23" s="9">
        <v>0.95</v>
      </c>
      <c r="J23" s="2" t="s">
        <v>105</v>
      </c>
      <c r="K23" s="12">
        <f>SUMPRODUCT((MONTH(DONNEES!B2:B51)=12)*(YEAR(DONNEES!B2:B51)=2024)*(DONNEES!I2:I51))</f>
        <v>6</v>
      </c>
      <c r="L23" s="12">
        <f>SUMPRODUCT((MONTH(DONNEES!B2:B51)=12)*(YEAR(DONNEES!B2:B51)=2024)*(DONNEES!J2:J51))</f>
        <v>6</v>
      </c>
    </row>
    <row r="24" spans="1:12">
      <c r="A24" s="2" t="s">
        <v>15</v>
      </c>
      <c r="B24" s="2" t="s">
        <v>20</v>
      </c>
      <c r="C24" s="12">
        <f>COUNTIFS(DONNEES!D2:D51,"Hygiène",DONNEES!E2:E51,"Matériel")</f>
        <v>4</v>
      </c>
    </row>
    <row r="25" spans="1:12">
      <c r="A25" s="2" t="s">
        <v>15</v>
      </c>
      <c r="B25" s="2" t="s">
        <v>11</v>
      </c>
      <c r="C25" s="12">
        <f>COUNTIFS(DONNEES!D2:D51,"Hygiène",DONNEES!E2:E51,"Compétence")</f>
        <v>2</v>
      </c>
    </row>
  </sheetData>
  <sheetProtection algorithmName="SHA-512" hashValue="My9W9XnD5g40mB5HpCgMGdDgLZw2DHmXsNiPi+r+oZBEsW7zp1rLqijvW0wFIk5QTJFBe0g2/hFaGQROQ/a9HA==" saltValue="IPNoyPwn/1qZ5OH9rtmaew==" spinCount="100000" sheet="1"/>
  <mergeCells count="2">
    <mergeCell ref="A2:B2"/>
    <mergeCell ref="A3:B3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"/>
  <sheetViews>
    <sheetView showGridLines="0" showRowColHeaders="0" tabSelected="1" zoomScaleNormal="100" workbookViewId="0">
      <selection activeCell="A5" sqref="A4:L5"/>
    </sheetView>
  </sheetViews>
  <sheetFormatPr baseColWidth="10" defaultRowHeight="15"/>
  <cols>
    <col min="3" max="3" width="10.42578125" customWidth="1"/>
    <col min="6" max="6" width="10.28515625" customWidth="1"/>
    <col min="8" max="8" width="13" customWidth="1"/>
  </cols>
  <sheetData>
    <row r="4" spans="1:12" ht="11.25" customHeight="1">
      <c r="D4" s="32">
        <f>SUM(DONNEES!J2:J51)/SUM(DONNEES!I2:I51)</f>
        <v>0.88505747126436785</v>
      </c>
      <c r="E4" s="32"/>
      <c r="F4" s="32"/>
    </row>
    <row r="5" spans="1:12">
      <c r="A5" s="31">
        <f>SUMPRODUCT((DONNEES!H2:H51="oui")*1)/COUNTA(DONNEES!A2:A51)</f>
        <v>0.84</v>
      </c>
      <c r="B5" s="31"/>
      <c r="C5" s="31"/>
      <c r="D5" s="32"/>
      <c r="E5" s="32"/>
      <c r="F5" s="32"/>
      <c r="G5" s="29">
        <v>17</v>
      </c>
      <c r="H5" s="29"/>
      <c r="I5" s="29">
        <v>17</v>
      </c>
      <c r="J5" s="29"/>
      <c r="K5" s="29">
        <v>16</v>
      </c>
      <c r="L5" s="29"/>
    </row>
  </sheetData>
  <sheetProtection algorithmName="SHA-512" hashValue="xE0XV5Yra/TQX46WJkyAe7HGVVgo9uHk3mdgc04RIZ1V9LdcLKG6ADNcdImvqRP7fA0iDz0J80PezLdJVIcQ3w==" saltValue="4LESgn+Qwj4J42w+ex1qhQ==" spinCount="100000" sheet="1"/>
  <mergeCells count="5">
    <mergeCell ref="A5:C5"/>
    <mergeCell ref="D4:F5"/>
    <mergeCell ref="G5:H5"/>
    <mergeCell ref="I5:J5"/>
    <mergeCell ref="K5:L5"/>
  </mergeCells>
  <conditionalFormatting sqref="A5:C5">
    <cfRule type="colorScale" priority="11">
      <colorScale>
        <cfvo type="min"/>
        <cfvo type="num" val="9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lessThan" id="{4F0C05B8-39DD-4C8E-92C2-A261FAC14677}">
            <xm:f>CIBLES!$B$2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" operator="greaterThan" id="{519C3ED5-C8A5-476F-A038-60DAC79AEB18}">
            <xm:f>CIBLES!$B$2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colorScale" priority="5" id="{794F91F7-93B1-4FFB-AC69-6ABC6ECAFD46}">
            <x14:colorScale>
              <x14:cfvo type="min"/>
              <x14:cfvo type="num">
                <xm:f>CIBLES!$B$3</xm:f>
              </x14:cfvo>
              <x14:cfvo type="max"/>
              <x14:color rgb="FFF8696B"/>
              <x14:color rgb="FFFFEB84"/>
              <x14:color rgb="FF63BE7B"/>
            </x14:colorScale>
          </x14:cfRule>
          <xm:sqref>D4:F5</xm:sqref>
        </x14:conditionalFormatting>
        <x14:conditionalFormatting xmlns:xm="http://schemas.microsoft.com/office/excel/2006/main">
          <x14:cfRule type="colorScale" priority="3" id="{02BEB749-5BB6-428C-A0AB-E0C59AD133C1}">
            <x14:colorScale>
              <x14:cfvo type="min"/>
              <x14:cfvo type="num">
                <xm:f>CIBLES!$B$4</xm:f>
              </x14:cfvo>
              <x14:cfvo type="max"/>
              <x14:color rgb="FF00B050"/>
              <x14:color rgb="FFFFEB84"/>
              <x14:color rgb="FFFF0000"/>
            </x14:colorScale>
          </x14:cfRule>
          <xm:sqref>G5:H5</xm:sqref>
        </x14:conditionalFormatting>
        <x14:conditionalFormatting xmlns:xm="http://schemas.microsoft.com/office/excel/2006/main">
          <x14:cfRule type="colorScale" priority="2" id="{4D5BBC4F-5C67-437E-AD64-FD59038B984A}">
            <x14:colorScale>
              <x14:cfvo type="min"/>
              <x14:cfvo type="num">
                <xm:f>CIBLES!$B$5</xm:f>
              </x14:cfvo>
              <x14:cfvo type="max"/>
              <x14:color rgb="FF00B050"/>
              <x14:color rgb="FFFFEB84"/>
              <x14:color rgb="FFFF0000"/>
            </x14:colorScale>
          </x14:cfRule>
          <xm:sqref>I5:J5</xm:sqref>
        </x14:conditionalFormatting>
        <x14:conditionalFormatting xmlns:xm="http://schemas.microsoft.com/office/excel/2006/main">
          <x14:cfRule type="colorScale" priority="1" id="{C2FFAA49-F007-4799-A3BC-D60D4DB89E7E}">
            <x14:colorScale>
              <x14:cfvo type="min"/>
              <x14:cfvo type="num">
                <xm:f>CIBLES!$B$6</xm:f>
              </x14:cfvo>
              <x14:cfvo type="max"/>
              <x14:color rgb="FF00B050"/>
              <x14:color rgb="FFFFEB84"/>
              <x14:color rgb="FFFF0000"/>
            </x14:colorScale>
          </x14:cfRule>
          <xm:sqref>K5:L5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Feuil7</vt:lpstr>
      <vt:lpstr>DONNEES</vt:lpstr>
      <vt:lpstr>CIBLES</vt:lpstr>
      <vt:lpstr>KPIS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2025-08-20T02:09:50Z</dcterms:created>
  <dcterms:modified xsi:type="dcterms:W3CDTF">2025-09-01T07:05:49Z</dcterms:modified>
</cp:coreProperties>
</file>