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esktop\TUDo\FVT HiWi\Equilib Constant\"/>
    </mc:Choice>
  </mc:AlternateContent>
  <xr:revisionPtr revIDLastSave="0" documentId="13_ncr:1_{16849604-2E64-4CB5-B025-5AB7E1C3367C}" xr6:coauthVersionLast="47" xr6:coauthVersionMax="47" xr10:uidLastSave="{00000000-0000-0000-0000-000000000000}"/>
  <bookViews>
    <workbookView xWindow="28680" yWindow="-120" windowWidth="29040" windowHeight="15840" xr2:uid="{EA8BED95-6C0F-4E2B-AD72-0C1CA6170A5A}"/>
  </bookViews>
  <sheets>
    <sheet name="Sheet1" sheetId="1" r:id="rId1"/>
  </sheets>
  <definedNames>
    <definedName name="_xlnm._FilterDatabase" localSheetId="0" hidden="1">Sheet1!$A$3:$Q$164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7" i="1" l="1"/>
  <c r="N166" i="1"/>
  <c r="N165" i="1"/>
  <c r="K41" i="1"/>
  <c r="K28" i="1"/>
  <c r="K27" i="1"/>
  <c r="K26" i="1"/>
  <c r="K25" i="1"/>
  <c r="K24" i="1"/>
  <c r="K23" i="1"/>
  <c r="K22" i="1"/>
  <c r="K21" i="1"/>
  <c r="K20" i="1"/>
  <c r="N15" i="1"/>
  <c r="K15" i="1"/>
  <c r="N14" i="1"/>
  <c r="K14" i="1"/>
  <c r="N13" i="1"/>
  <c r="K13" i="1"/>
  <c r="N12" i="1"/>
  <c r="K12" i="1"/>
  <c r="N9" i="1"/>
  <c r="K9" i="1"/>
  <c r="N8" i="1"/>
  <c r="K8" i="1"/>
  <c r="N7" i="1"/>
  <c r="K7" i="1"/>
  <c r="N6" i="1"/>
  <c r="K6" i="1"/>
  <c r="N5" i="1"/>
  <c r="K5" i="1"/>
  <c r="N4" i="1"/>
  <c r="K4" i="1"/>
  <c r="K19" i="1"/>
  <c r="K31" i="1"/>
  <c r="K30" i="1"/>
  <c r="K29" i="1"/>
  <c r="K164" i="1"/>
  <c r="K163" i="1"/>
  <c r="K162" i="1"/>
  <c r="K161" i="1"/>
  <c r="K160" i="1"/>
  <c r="K74" i="1"/>
  <c r="F79" i="1"/>
  <c r="F64" i="1"/>
</calcChain>
</file>

<file path=xl/sharedStrings.xml><?xml version="1.0" encoding="utf-8"?>
<sst xmlns="http://schemas.openxmlformats.org/spreadsheetml/2006/main" count="947" uniqueCount="402">
  <si>
    <t xml:space="preserve">S no. </t>
  </si>
  <si>
    <t>Reaction</t>
  </si>
  <si>
    <t>Basis</t>
  </si>
  <si>
    <t>T</t>
  </si>
  <si>
    <t>K</t>
  </si>
  <si>
    <t>Mole fraction</t>
  </si>
  <si>
    <t>Solvent</t>
  </si>
  <si>
    <t>+- 2.8</t>
  </si>
  <si>
    <t>-</t>
  </si>
  <si>
    <t>Publication</t>
  </si>
  <si>
    <t>Altuntepe 2017 -1</t>
  </si>
  <si>
    <t>Molality</t>
  </si>
  <si>
    <t>+- 2</t>
  </si>
  <si>
    <t>+- 3</t>
  </si>
  <si>
    <t>Altuntepe 2017 -2</t>
  </si>
  <si>
    <t>Remarks</t>
  </si>
  <si>
    <t>Ka = Km * Kgamma (Experimentally determined molalities  * ratio of activity coefficients)</t>
  </si>
  <si>
    <t>2.59*10^(-5)</t>
  </si>
  <si>
    <t>2.67*10^(-5)</t>
  </si>
  <si>
    <t>2.9*10^(-5)</t>
  </si>
  <si>
    <t>Aqueous Solution</t>
  </si>
  <si>
    <t>Emelyanenko 2016</t>
  </si>
  <si>
    <t>Emelyanenko 2018</t>
  </si>
  <si>
    <t>Kth = Kx * Kgamma (Experimentally determined mole fractions  * molar fraction based activity coefficient found by PC-SAFT method)</t>
  </si>
  <si>
    <t>+- 5</t>
  </si>
  <si>
    <t>+- 0.3</t>
  </si>
  <si>
    <t>+- 0.06</t>
  </si>
  <si>
    <t xml:space="preserve">Method A (product of Km′ and the
activity-coefficient ratio at equilibrium Kgamma) and K gamma approaches 1 </t>
  </si>
  <si>
    <t>Method B (product of Km′ and the
activity-coefficient ratio at equilibrium Kgamma)</t>
  </si>
  <si>
    <t>+- 0.007</t>
  </si>
  <si>
    <t>Greinert 2020</t>
  </si>
  <si>
    <t>Hoffmann 2013</t>
  </si>
  <si>
    <t xml:space="preserve">Ka = Km * Kgamma (product of Km and the
activity-coefficient ratio at equilibrium Kgamma) and K gamma approaches 1 </t>
  </si>
  <si>
    <t>Hoffmann 2014</t>
  </si>
  <si>
    <t>Kth</t>
  </si>
  <si>
    <t>Ka</t>
  </si>
  <si>
    <t>Ka'</t>
  </si>
  <si>
    <t>ln (Ka') = ln (Km') + ln (K gamma)</t>
  </si>
  <si>
    <t>ln (Ka')</t>
  </si>
  <si>
    <t>Meurer 2016</t>
  </si>
  <si>
    <t>Thermodynamic equilib const, Kth = Km * Kgamma (Experimentally determined molalities  * molality based activity coefficient found by PC-SAFT method)</t>
  </si>
  <si>
    <t>K'p</t>
  </si>
  <si>
    <t>+- 82</t>
  </si>
  <si>
    <t>Aqueous Solution  (pH 7.0)</t>
  </si>
  <si>
    <t>Aqueous Solution (pH 6.5)</t>
  </si>
  <si>
    <t>Aqueous Solution (pH 7.0)</t>
  </si>
  <si>
    <t>Meurer 2017</t>
  </si>
  <si>
    <t>K'p = K'm * K'gamma (Experimentally determined molalities  * ratio of activity coefficients)</t>
  </si>
  <si>
    <t>Ka*</t>
  </si>
  <si>
    <t>Thermodynamic Equilibrium Constant</t>
  </si>
  <si>
    <t>Km</t>
  </si>
  <si>
    <t xml:space="preserve">m gluc = m  Pi = 0.0051 </t>
  </si>
  <si>
    <t>mol/kg</t>
  </si>
  <si>
    <t>Aqueous Solution (pH 8.22)</t>
  </si>
  <si>
    <t>m G6P = 0.0301</t>
  </si>
  <si>
    <t>Aqueous Solution (pH 8.23)</t>
  </si>
  <si>
    <t>Aqueous Solution (pH 8.27)</t>
  </si>
  <si>
    <t>Aqueous Solution (pH 8.29)</t>
  </si>
  <si>
    <t>m G6P = 0.0401</t>
  </si>
  <si>
    <t>m ACP = 0.0296
m 2-P = 0.20227</t>
  </si>
  <si>
    <t>+- 0.018</t>
  </si>
  <si>
    <t>m 2-P = 0.20079
m 1-PE = 0.01917
m Ac = 0.02274</t>
  </si>
  <si>
    <t>+- 0.02</t>
  </si>
  <si>
    <t>m ACP = 0.00522
m 2-P = 0.00511 
m 1-PE = 0.00484
m Ac = 0.00477</t>
  </si>
  <si>
    <t>+- 0.054</t>
  </si>
  <si>
    <t xml:space="preserve">m ACP = 0.01102
m 2-P = 0.01008 </t>
  </si>
  <si>
    <t>+- 0.015</t>
  </si>
  <si>
    <t>2.17 * 10^(-3)</t>
  </si>
  <si>
    <t>+- 3.12 * 10^(-4)</t>
  </si>
  <si>
    <t>2.090 * 10^(-3)</t>
  </si>
  <si>
    <t>+- 3.74 * 10^(-4)</t>
  </si>
  <si>
    <t xml:space="preserve">Voges 2017 -1 </t>
  </si>
  <si>
    <t>Km value from the forward reaction. Kth = Km * Kgamma (Experimentally determined molalities  * ratio of activity coefficients)</t>
  </si>
  <si>
    <t>Km value from the backward reaction.  Kth = Km * Kgamma (Experimentally determined molalities  * ratio of activity coefficients)</t>
  </si>
  <si>
    <t>Km value from the two single reactions.  Kth = Km * Kgamma (Experimentally determined molalities  * ratio of activity coefficients)</t>
  </si>
  <si>
    <t>Km value from coupled reaction.  Kth = Km * Kgamma (Experimentally determined molalities  * ratio of activity coefficients)</t>
  </si>
  <si>
    <t xml:space="preserve"> Kth = Km * Kgamma (Experimentally determined molalities  * ratio of activity coefficients)</t>
  </si>
  <si>
    <t>Voges 2016</t>
  </si>
  <si>
    <t>100 mM Tris-HCl  (pH 7.0)</t>
  </si>
  <si>
    <t xml:space="preserve">m CHO =5.053
m PEA = 4.956  </t>
  </si>
  <si>
    <t>mmol/kg</t>
  </si>
  <si>
    <t>+- 111</t>
  </si>
  <si>
    <t>+- 25.42</t>
  </si>
  <si>
    <t xml:space="preserve">m CHO= 9.987 
m PEA = 10.014 </t>
  </si>
  <si>
    <t>+- 10</t>
  </si>
  <si>
    <t>+- 2.45</t>
  </si>
  <si>
    <t xml:space="preserve">m CHO = 25
m PEA = 25.019 </t>
  </si>
  <si>
    <t>+- 65</t>
  </si>
  <si>
    <t>+- 52</t>
  </si>
  <si>
    <t>m CHO = 50.553
m PEA = 48.489</t>
  </si>
  <si>
    <t>+- 17.66</t>
  </si>
  <si>
    <t>m CHO = 9.979
m PEA = 10.009</t>
  </si>
  <si>
    <t>+- 25</t>
  </si>
  <si>
    <t>+- 7</t>
  </si>
  <si>
    <t>Voges 2017 -2</t>
  </si>
  <si>
    <t>Initial conc</t>
  </si>
  <si>
    <t xml:space="preserve">ADH Reaction :
Acetophenone + 2 -propanol ⇌ 1- phenylethanol + acetone </t>
  </si>
  <si>
    <t>ω‑Transamination of (S)‑Phenylethylamine : 
S-Phenylethylamine (PEA) + Cyclohexane (CHO) ⇌ Cyclohexylamine (CHA) + Acetophenone (ACP)</t>
  </si>
  <si>
    <t>Acetophenone + 2-Propanol (2-P) ⇌ 1-Phenylethanol (1-PE) + Acetone (Ac)</t>
  </si>
  <si>
    <t>Alanine Aminotransferase reaction : L-alanine + 2-oxoglutarate ⇌ L-glutamate + pyruvate</t>
  </si>
  <si>
    <t>Phosphatase reaction: Glucose 6 Phosphate (G6P) + H2O ⇌ Glucose + Pi</t>
  </si>
  <si>
    <t>I. Hexokinase Reaction: Glucose + ATP ⇌ Glucose 6 Phosphate + ADP</t>
  </si>
  <si>
    <t>alanine aminotransferase reaction: 
L-alanine + 2-oxoglutarate ⇌ 
pyruvate + L-glutamate</t>
  </si>
  <si>
    <t>m ACP = 9.77
m 2-P = 198.34</t>
  </si>
  <si>
    <t>+- 0.020</t>
  </si>
  <si>
    <t>No additives</t>
  </si>
  <si>
    <t>m ACP = 20.96
m 2-P = 202.27</t>
  </si>
  <si>
    <t>+- 0.011</t>
  </si>
  <si>
    <t>m ACP = 10.06
m 2-P = 198.83</t>
  </si>
  <si>
    <t>+- 0.082</t>
  </si>
  <si>
    <t>[Choline] Cl additive, m = 0.25 mol/kg</t>
  </si>
  <si>
    <t>m ACP = 10.05
m 2-P = 197.37</t>
  </si>
  <si>
    <t>+- 0.0009</t>
  </si>
  <si>
    <t>[Choline] Cl additive, m = 0.5 mol/kg</t>
  </si>
  <si>
    <t>m ACP = 10.05
m 2-P = 197.50</t>
  </si>
  <si>
    <t>[Choline] Cl additive, m = 1.0 mol/kg</t>
  </si>
  <si>
    <t>m ACP = 19.55
m 2-P = 185.20</t>
  </si>
  <si>
    <t>+- 0.014</t>
  </si>
  <si>
    <t>m ACP = 19.81
m 2-P = 192.17</t>
  </si>
  <si>
    <t>+- 0.006</t>
  </si>
  <si>
    <t>m ACP = 19.48
m 2-P = 195.27</t>
  </si>
  <si>
    <t>[Choline] Cl additive, m = 1.5 mol/kg</t>
  </si>
  <si>
    <t>m ACP = 10.52
m 2-P = 199.85</t>
  </si>
  <si>
    <t>+- 0.040</t>
  </si>
  <si>
    <t>[Choline]H2PO4 additive, m = 0.5 mol/kg</t>
  </si>
  <si>
    <t>+- 0.019</t>
  </si>
  <si>
    <t>[Choline]H2PO4 additive, m = 1.5 mol/kg</t>
  </si>
  <si>
    <t>m ACP = 10.15
m 2-P = 188.15</t>
  </si>
  <si>
    <t>+- 0.001</t>
  </si>
  <si>
    <t>[emim]Cl additive, m = 0.5 mol/kg</t>
  </si>
  <si>
    <t>m ACP = 19.58
m 2-P = 185.22</t>
  </si>
  <si>
    <t>+- 0.013</t>
  </si>
  <si>
    <t>[emim]Cl additive, m = 0.25 mol/kg</t>
  </si>
  <si>
    <t>m ACP = 19.83
m 2-P = 192.13</t>
  </si>
  <si>
    <t>+- 0.021</t>
  </si>
  <si>
    <t>m ACP = 9.77
m 2-P = 196.27</t>
  </si>
  <si>
    <t>+- 0.236</t>
  </si>
  <si>
    <t>m ACP = 10.12
m 2-P = 216.30</t>
  </si>
  <si>
    <t>+- 0.194</t>
  </si>
  <si>
    <t>m ACP = 10.06
m 2-P = 198.96</t>
  </si>
  <si>
    <t>+- 0.069</t>
  </si>
  <si>
    <t>Ammoeng 110 additive, , m = 0.1 mol/kg</t>
  </si>
  <si>
    <t>Ammoeng 110 additive, , m = 0.2 mol/kg</t>
  </si>
  <si>
    <t>Urea additive, , m = 1.0 mol/kg</t>
  </si>
  <si>
    <t>+- 0.023</t>
  </si>
  <si>
    <t>TMAO additive, , m = 0.5 mol/kg</t>
  </si>
  <si>
    <t>m ACP = 10.06
m 2-P = 198.39</t>
  </si>
  <si>
    <t>TMAO additive, , m = 1.0 mol/kg</t>
  </si>
  <si>
    <t>m ACP = 19.51
m 2-P = 190.24</t>
  </si>
  <si>
    <t>+- 0.005</t>
  </si>
  <si>
    <t>m ACP = 199.55
m 2-P = 202.44</t>
  </si>
  <si>
    <t>+- 0.003</t>
  </si>
  <si>
    <t>[bmim]Tf2N additive, pure</t>
  </si>
  <si>
    <t>[bmim]Cl+ TMAO additive , m = 0.5 + 0.5 mol/kg</t>
  </si>
  <si>
    <t>m L-alanine = 96.27
m 2-oxoglutarate = 58.78</t>
  </si>
  <si>
    <t>+- 0.031</t>
  </si>
  <si>
    <t>m L-alanine = 95.81
m 2-oxoglutarate = 57.42</t>
  </si>
  <si>
    <t>+- 0.002</t>
  </si>
  <si>
    <t>m L-alanine = 96.8
m 2-oxoglutarate = 61.07</t>
  </si>
  <si>
    <t>+- 0.035</t>
  </si>
  <si>
    <t>m L-alanine = 95.8
m 2-oxoglutarate = 58.02</t>
  </si>
  <si>
    <t>m L-alanine = 96.68
m 2-oxoglutarate = 59.39</t>
  </si>
  <si>
    <t>+- 0.053</t>
  </si>
  <si>
    <t>m L-alanine = 95.81
m 2-oxoglutarate = 57.70</t>
  </si>
  <si>
    <t>[bmim]Cl additive, m = 0.25 mol/kg</t>
  </si>
  <si>
    <t>m L-alanine = 96.86
m 2-oxoglutarate = 59.58</t>
  </si>
  <si>
    <t>+- 0.041</t>
  </si>
  <si>
    <t>[bmim]Cl additive, m = 0.5 mol/kg</t>
  </si>
  <si>
    <t>m L-alanine = 96.74
m 2-oxoglutarate = 58.77</t>
  </si>
  <si>
    <t>[bmim]Cl additive, m = 2.0 mol/kg</t>
  </si>
  <si>
    <t>m L-alanine = 95.81
m 2-oxoglutarate = 58.78</t>
  </si>
  <si>
    <t>[bmim]OTf additive, m = 0.25 mol/kg</t>
  </si>
  <si>
    <t>m L-alanine = 97.36
m 2-oxoglutarate = 57.14</t>
  </si>
  <si>
    <t>Ammoeng 110 additive, m = 0.05 mol/kg</t>
  </si>
  <si>
    <t>m L-alanine = 97.35
m 2-oxoglutarate = 55.53</t>
  </si>
  <si>
    <t>+- 0.036</t>
  </si>
  <si>
    <t>Ammoeng 110 additive, m = 0.2 mol/kg</t>
  </si>
  <si>
    <t>m L-alanine = 95.8
m 2-oxoglutarate = 56.06</t>
  </si>
  <si>
    <t>Urea additive, m = 0.25 mol/kg</t>
  </si>
  <si>
    <t>m L-alanine = 96.8
m 2-oxoglutarate = 58.21</t>
  </si>
  <si>
    <t>+- 0.032</t>
  </si>
  <si>
    <t>Urea additive, m = 0.5 mol/kg</t>
  </si>
  <si>
    <t>m L-alanine = 96.73
m 2-oxoglutarate = 61.06</t>
  </si>
  <si>
    <t>Urea additive, m = 2.0 mol/kg</t>
  </si>
  <si>
    <t>m L-alanine = 95.81
m 2-oxoglutarate = 56.96</t>
  </si>
  <si>
    <t>TMAO additive, m = 0.25 mol/kg</t>
  </si>
  <si>
    <t>m L-alanine = 95.81
m 2-oxoglutarate = 56.57</t>
  </si>
  <si>
    <t>[bmim]Otf + TMAO additive, m = 0.5 +  0.25 mol/kg</t>
  </si>
  <si>
    <t>Voges 2017</t>
  </si>
  <si>
    <t>3-phosphoglycerate kinase (PGK) reaction: 
1,3- BPG + ADP ⇌  3-PG + ATP</t>
  </si>
  <si>
    <t xml:space="preserve">m ATP = 1.02 
m 3-PG= 1.03 </t>
  </si>
  <si>
    <t>K'exp</t>
  </si>
  <si>
    <t>+- 25.9</t>
  </si>
  <si>
    <t>K'a</t>
  </si>
  <si>
    <t>+- 24.8</t>
  </si>
  <si>
    <t>Wangler 2018-1</t>
  </si>
  <si>
    <t xml:space="preserve">m ATP = 2.51
m 3-PG= 2.52 </t>
  </si>
  <si>
    <t>+- 17.3</t>
  </si>
  <si>
    <t>+- 15.5</t>
  </si>
  <si>
    <t xml:space="preserve">m ATP = 5.00
m 3-PG= 5.01 </t>
  </si>
  <si>
    <t>+- 51</t>
  </si>
  <si>
    <t>+- 41.4</t>
  </si>
  <si>
    <t xml:space="preserve">m ATP = 10.03
m 3-PG= 10.02 </t>
  </si>
  <si>
    <t>+- 47.3</t>
  </si>
  <si>
    <t>+- 32.7</t>
  </si>
  <si>
    <t xml:space="preserve">m ATP = 19.62
m 3-PG= 19.70 </t>
  </si>
  <si>
    <t>+- 67.6</t>
  </si>
  <si>
    <t>+- 35.4</t>
  </si>
  <si>
    <t xml:space="preserve">m ATP = 10.02
m 3-PG= 10.06 </t>
  </si>
  <si>
    <t>+- 226.22</t>
  </si>
  <si>
    <t>+- 153.70</t>
  </si>
  <si>
    <t xml:space="preserve">m ATP = 10.08
m 3-PG= 10.03 </t>
  </si>
  <si>
    <t>+- 27.2</t>
  </si>
  <si>
    <t>+- 18.92</t>
  </si>
  <si>
    <t xml:space="preserve"> K'a = K'exp * K'gamma (Experimentally determined molalities  * ratio of activity coefficients)</t>
  </si>
  <si>
    <t>Aqueous solution (pH 8.0)</t>
  </si>
  <si>
    <t>m SPNA = 0.5</t>
  </si>
  <si>
    <t>Kx</t>
  </si>
  <si>
    <t>1.82 * 10^(-4)</t>
  </si>
  <si>
    <t>1.42 * 10^(-4)</t>
  </si>
  <si>
    <t>1.23 * 10^(-4)</t>
  </si>
  <si>
    <t>Aqueous solution (pH 8.0) +  NaCl Co-Solvent (m = 0.01 mol/Kg)</t>
  </si>
  <si>
    <t>Aqueous solution (pH 8.0) +  CaCl2  Co-Solvent (m = 0.01 mol/Kg)</t>
  </si>
  <si>
    <t>1.38 * 10^(-4)</t>
  </si>
  <si>
    <t>+- 0.28 * 10^(-4)</t>
  </si>
  <si>
    <t>+- 0.24 * 10^(-4)</t>
  </si>
  <si>
    <t>+- 0.11 * 10^(-4)</t>
  </si>
  <si>
    <t>Aqueous solution (pH 8.0) +  DMSO Co-Solvent (m = 2.8 mol/Kg)</t>
  </si>
  <si>
    <t>Aqueous solution (pH 8.0) +  Urea Co-Solvent (m = 1 mol/Kg)</t>
  </si>
  <si>
    <t>m SPNA = 12.5</t>
  </si>
  <si>
    <t>27.33 * 10^(-4)</t>
  </si>
  <si>
    <t>+- 5.35 * 10^(-4)</t>
  </si>
  <si>
    <t>+- 2.1</t>
  </si>
  <si>
    <t>Wangler 2018-2</t>
  </si>
  <si>
    <t xml:space="preserve"> Kth = Kx * Kgamma (Experimentally determined molalities  * ratio of activity coefficients)</t>
  </si>
  <si>
    <t>SPNA hydrolysis reaction:
N-succinyl-L-phenylalanine-p-nitroanilide (SPNA) + H2O ⇌  p-nitroaniline
(4NA) +  N-(3-carboxypropanoyl)phenylalanine (3CP)</t>
  </si>
  <si>
    <t>Butanone + ([NADH]2-) + (H+) ⇌ Butanol +  ([NAD+]1-)</t>
  </si>
  <si>
    <t>2-Pentanone + ([NADH]2-) + (H+) ⇌ 2-Pentanol +  ([NAD+]1-)</t>
  </si>
  <si>
    <t>m Butanone = 0.5
m NADH = 0.5</t>
  </si>
  <si>
    <t>m 2-Pentanone = 0.5
m NADH = 0.5</t>
  </si>
  <si>
    <t>X exp</t>
  </si>
  <si>
    <t>+- 17.9</t>
  </si>
  <si>
    <t xml:space="preserve">Kth . aH+ = Xexp . Γ
Xexp = H+ free mole fraction ratio. More Suitable A indicator for the equilibrium position, and thus, Xobs is further used instead of Kx obs.
Influence of cosolvents is expressed in Γ, from ePC-SAFT. </t>
  </si>
  <si>
    <t>Aqueous solution (pH 7.0) + 17 wt% PEG Co-Solvent</t>
  </si>
  <si>
    <t>Aqueous solution (pH 7.0)</t>
  </si>
  <si>
    <t xml:space="preserve">Kth. aH+ </t>
  </si>
  <si>
    <t>+- 11.7</t>
  </si>
  <si>
    <t>+- 9.9</t>
  </si>
  <si>
    <t>+- 3.4</t>
  </si>
  <si>
    <t>Wangler 2019-2</t>
  </si>
  <si>
    <t>Acetophenone + ([NADH]2-) + (H+) ⇌ 1-Phenylethanol +  ([NAD+]1-)</t>
  </si>
  <si>
    <t xml:space="preserve">
Kth . aH+ = Xexp . Γ
Although H+ is a reacting agent, the mole-fraction ratio Xexp does not contain H+. Thus, Xexp is a direct and suitable indicator for the location of the equilibrium position.</t>
  </si>
  <si>
    <t>Aqueous solution (pH 7.8)</t>
  </si>
  <si>
    <t>m ACP = 20.22
m NADH = 38.84</t>
  </si>
  <si>
    <t>mmol/kg Water</t>
  </si>
  <si>
    <t>6.25*10^(-4)</t>
  </si>
  <si>
    <t>Aqueous solution (pH 7.8) + Co-Solvent Na3Cit 15 wt%</t>
  </si>
  <si>
    <t>m ACP = 20
m NADH = 40</t>
  </si>
  <si>
    <t>Aqueous solution (pH 7.8) + Co-Solvent PEG 6000 20 wt%</t>
  </si>
  <si>
    <t>Aqueous solution (pH 7.8) + Co-Solvent PEG 8000 10 wt%</t>
  </si>
  <si>
    <t>Aqueous solution (pH 7.8) + Co-Solvent PEG 8000 15 wt%</t>
  </si>
  <si>
    <t>Aqueous solution (pH 7.8) + Co-Solvent PEG 8000 20 wt%</t>
  </si>
  <si>
    <t>x LA = 0.7073
x BuOH = 0.2351</t>
  </si>
  <si>
    <t>x LA = 0.4788
x BuOH = 0.4733</t>
  </si>
  <si>
    <t>x LA = 0.2421
x BuOH = 0.7130</t>
  </si>
  <si>
    <t xml:space="preserve">Reaction No. </t>
  </si>
  <si>
    <t>Apparent / Experimental Equilibirum Constant</t>
  </si>
  <si>
    <t>m SA = 0.1 
m H20 = 0.5</t>
  </si>
  <si>
    <t>mol/kg EtOH</t>
  </si>
  <si>
    <t>Ethanol</t>
  </si>
  <si>
    <t>m SA = 0.3
m H20 = 0.5</t>
  </si>
  <si>
    <t>m SA = 0.4
m H20 = 0.5</t>
  </si>
  <si>
    <t>m SA = 0.6
m H20 = 0.5</t>
  </si>
  <si>
    <t>m SA = 0.3
m H20 = 0.3</t>
  </si>
  <si>
    <t>m SA = 0.3
m H20 = 1.0</t>
  </si>
  <si>
    <t>m SA = 0.3
m H20 = 1.5</t>
  </si>
  <si>
    <t>m SA = 0.2
m H20 = 1.0</t>
  </si>
  <si>
    <t>m SA = 0.8
m H20 = 1.0</t>
  </si>
  <si>
    <t>Methyl Ferulate + Water ⇌ ferulic acid + methanol</t>
  </si>
  <si>
    <t>m MF = 0.01
m Methanol = 5</t>
  </si>
  <si>
    <t>mol/Kg Water</t>
  </si>
  <si>
    <t>Methanol + Water</t>
  </si>
  <si>
    <t>Ethanol + Water</t>
  </si>
  <si>
    <t>Butanol + Water</t>
  </si>
  <si>
    <t>Levulinic acid esterification:
Levulinic acid + Methanol ⇌ Easter + Water</t>
  </si>
  <si>
    <t>Levulinic acid esterification:
Levulinic acid + Ethanol ⇌ Easter + Water</t>
  </si>
  <si>
    <t>Levulinic acid esterification:
Levulinic acid + Butanol ⇌ Easter + Water</t>
  </si>
  <si>
    <t>triosephosphate isomerase (TPI) reaction: Dihydroxyacetone phosphate (DHAP)  ⇌ Glyceraldehyde 3-phosphate (GAP)</t>
  </si>
  <si>
    <t>Methyl Ferulate + Water ⇌Ferulic Acid + Methanol</t>
  </si>
  <si>
    <t>mmol/Kg</t>
  </si>
  <si>
    <t xml:space="preserve">m MF = 2 </t>
  </si>
  <si>
    <t>m MeOH = 5</t>
  </si>
  <si>
    <t>mol/Kg</t>
  </si>
  <si>
    <t>m MF = 4</t>
  </si>
  <si>
    <t>m MF = 6</t>
  </si>
  <si>
    <t>m MF = 8</t>
  </si>
  <si>
    <t>m MF = 10</t>
  </si>
  <si>
    <t>glucose-6-phosphate (G6P)  ⇌  fructose-6-phosphate (F6P)</t>
  </si>
  <si>
    <t>m ATP = 9.98 
m Glucose = 9.98</t>
  </si>
  <si>
    <t>ln(K'm)</t>
  </si>
  <si>
    <t>+- 1.3</t>
  </si>
  <si>
    <t>m ATP = 24.57
m Glucose = 24.58</t>
  </si>
  <si>
    <t>m.mol/Kg</t>
  </si>
  <si>
    <t>m ATP = 40
m Glucose = 40</t>
  </si>
  <si>
    <t>+- 1.2</t>
  </si>
  <si>
    <t>m ATP = 48.41
m Glucose = 48.42</t>
  </si>
  <si>
    <t>Wangler 2019</t>
  </si>
  <si>
    <t>x H2O = 0.0859</t>
  </si>
  <si>
    <t>x H2O = 0.1517</t>
  </si>
  <si>
    <t>x H2O = 0.2562</t>
  </si>
  <si>
    <t>x LA = 0.0514</t>
  </si>
  <si>
    <t>x LA = 0.0961</t>
  </si>
  <si>
    <t>x H2O = 0.0886</t>
  </si>
  <si>
    <t>x H2O = 0.0582</t>
  </si>
  <si>
    <t>x H2O = 0.0292</t>
  </si>
  <si>
    <t>x LA = 0.0423</t>
  </si>
  <si>
    <t>x LA = 0.0208</t>
  </si>
  <si>
    <t>x LA = 0.0102</t>
  </si>
  <si>
    <t>x LA = 0.0067</t>
  </si>
  <si>
    <t>Water + Methanol</t>
  </si>
  <si>
    <t>Water + Ethanol</t>
  </si>
  <si>
    <t>Water + Butanol</t>
  </si>
  <si>
    <t>m DHAP = 0.242</t>
  </si>
  <si>
    <t>m DHAP = 0.95</t>
  </si>
  <si>
    <t>Km'</t>
  </si>
  <si>
    <t>m DHAP = 2.009</t>
  </si>
  <si>
    <t>+- 0.01</t>
  </si>
  <si>
    <t>m DHAP = 15.209</t>
  </si>
  <si>
    <t>m DHAP = 15.086</t>
  </si>
  <si>
    <t>Aqueous Solution  (pH 7.0) + MgCl2 (m = 9.829 mmol/Kg)</t>
  </si>
  <si>
    <t>mmol/Kg Water</t>
  </si>
  <si>
    <t>m DHAP = 0.2132</t>
  </si>
  <si>
    <t>m DHAP = 0.239</t>
  </si>
  <si>
    <t>Aqueous Solution (buffer species Tris, Tris–H+, and Cl− as well as K+ ions)</t>
  </si>
  <si>
    <t>m G6P = 1</t>
  </si>
  <si>
    <t>m G6P = 3</t>
  </si>
  <si>
    <t>m G6P = 5</t>
  </si>
  <si>
    <t>m G6P = 10</t>
  </si>
  <si>
    <t>m G6P = 20</t>
  </si>
  <si>
    <t>m G6P = 50</t>
  </si>
  <si>
    <t>m L-alanine = 0.08021
m 2-oxoglutarate = 0.08021</t>
  </si>
  <si>
    <t>+- 0.017</t>
  </si>
  <si>
    <t>m L-alanine = 0.06276
m 2-oxoglutarate = 0.06276</t>
  </si>
  <si>
    <t>m L-alanine = 0.04065
m 2-oxoglutarate = 0.04065</t>
  </si>
  <si>
    <t>m L-alanine = 0.02129
m 2-oxoglutarate = 0.02129</t>
  </si>
  <si>
    <t>m L-alanine = 0.01495
m 2-oxoglutarate = 0.01495</t>
  </si>
  <si>
    <t>m L-alanine = 0.00996
m 2-oxoglutarate = 0.00996</t>
  </si>
  <si>
    <t>+- 0.025</t>
  </si>
  <si>
    <t>m L-alanine = 0.00502
m 2-oxoglutarate = 0.00502</t>
  </si>
  <si>
    <t>+- 0.022</t>
  </si>
  <si>
    <t>m L-alanine = 0.09801
m 2-oxoglutarate = 0.027225</t>
  </si>
  <si>
    <t>m L-alanine = 0.02867
m 2-oxoglutarate = 0.09556</t>
  </si>
  <si>
    <t>+- 0.026</t>
  </si>
  <si>
    <t>m L-alanine = 0.02118
m 2-oxoglutarate = 0.02118</t>
  </si>
  <si>
    <t>m L-alanine = 0.01610
m 2-oxoglutarate = 0.01610</t>
  </si>
  <si>
    <t>m L-alanine = 0.01082
m 2-oxoglutarate = 0.01082</t>
  </si>
  <si>
    <t>+- 0.028</t>
  </si>
  <si>
    <t>m L-alanine = 0.00524
m 2-oxoglutarate = 0.00524</t>
  </si>
  <si>
    <t>+- 0.03</t>
  </si>
  <si>
    <t>Aqueous Solution (pH 9.0)</t>
  </si>
  <si>
    <t>m L-alanine = 0.02023
m 2-oxoglutarate = 0.02023</t>
  </si>
  <si>
    <t>m L-alanine = 0.01012
m 2-oxoglutarate = 0.01012</t>
  </si>
  <si>
    <t>m L-alanine = 0.00506
m 2-oxoglutarate = 0.00506</t>
  </si>
  <si>
    <t>m L-alanine = 0.00504
m 2-oxoglutarate = 0.00504</t>
  </si>
  <si>
    <t>+- 0.016</t>
  </si>
  <si>
    <t>m L-alanine = 0.01339
m 2-oxoglutarate = 0.01339</t>
  </si>
  <si>
    <t>PFK reaction</t>
  </si>
  <si>
    <t>Adolase reaction</t>
  </si>
  <si>
    <t>PGAM reaction</t>
  </si>
  <si>
    <t>kth</t>
  </si>
  <si>
    <t>ka</t>
  </si>
  <si>
    <t>thermodynamic equilibirum is calculated from standard gibbs free energy</t>
  </si>
  <si>
    <t>Bülow, Mahmoudi 2020</t>
  </si>
  <si>
    <t>4-methylacetophenone (Me-ACP) + NADH + H+ ⇌ 1-(4-methylphenyl)ethanol (Me-PE)</t>
  </si>
  <si>
    <t>HEPES buffer solution (pH 7.0)</t>
  </si>
  <si>
    <t>m NADH = 0.470
m ACP = 0.529</t>
  </si>
  <si>
    <t>+- 8.32</t>
  </si>
  <si>
    <t>9.79 * 10^4</t>
  </si>
  <si>
    <t>+- 8.9 * 10^3</t>
  </si>
  <si>
    <t>Toluene</t>
  </si>
  <si>
    <t>Michael addition : diethyl malonate + trans-β-nitrostyrene ⇌ diethyl nitro-phenylethyl
malonate</t>
  </si>
  <si>
    <t>Pressure 1 bar</t>
  </si>
  <si>
    <t>Knierbein 2020</t>
  </si>
  <si>
    <t>DOI</t>
  </si>
  <si>
    <t>10.1007/s00253-017-8481-4</t>
  </si>
  <si>
    <t>10.1007/s00253-017-8287-4</t>
  </si>
  <si>
    <t>https://doi.org/10.1016/j.fluid.2016.01.035</t>
  </si>
  <si>
    <t>https://doi.org/10.1016/j.tca.2017.12.006</t>
  </si>
  <si>
    <t>https://doi.org/10.1016/j.bpc.2020.106330</t>
  </si>
  <si>
    <t>http://dx.doi.org/10.1016/j.bpc.2012.12.006</t>
  </si>
  <si>
    <t>http://dx.doi.org/10.1016/j.bpc.2014.08.002</t>
  </si>
  <si>
    <t>10.1021/acs.biochem.6b00471</t>
  </si>
  <si>
    <t>http://dx.doi.org/10.1016/j.bpc.2017.02.005</t>
  </si>
  <si>
    <t>http://dx.doi.org/10.1016/j.fluid.2016.01.023</t>
  </si>
  <si>
    <t>10.1021/acs.iecr.7b01228</t>
  </si>
  <si>
    <t>10.1021/acs.oprd.7b00178</t>
  </si>
  <si>
    <t>10.1021/acs.oprd.7b00078</t>
  </si>
  <si>
    <t>10.1021/acsomega.7b01704</t>
  </si>
  <si>
    <t>10.1039/c7cp07346a</t>
  </si>
  <si>
    <t>10.1021/acsomega.8b03159</t>
  </si>
  <si>
    <t>https://doi.org/10.1016/j.jct.2018.08.021</t>
  </si>
  <si>
    <t>I. Succinic acid esterification:
Succinic Acid + Ethanol ⇌ monoethyl succinate
(MES) + diethyl succinate (DES) +H2O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</si>
</sst>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1" xfId="0" quotePrefix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quotePrefix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right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quotePrefix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2" fillId="0" borderId="17" xfId="1" applyFill="1" applyBorder="1" applyAlignment="1">
      <alignment horizontal="center" vertical="center" wrapText="1"/>
    </xf>
    <xf numFmtId="0" fontId="2" fillId="0" borderId="17" xfId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quotePrefix="1" applyBorder="1" applyAlignment="1">
      <alignment horizontal="center" vertical="center"/>
    </xf>
    <xf numFmtId="0" fontId="2" fillId="0" borderId="15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right" vertical="center"/>
    </xf>
    <xf numFmtId="0" fontId="0" fillId="0" borderId="9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quotePrefix="1" applyBorder="1" applyAlignment="1">
      <alignment vertical="center"/>
    </xf>
    <xf numFmtId="0" fontId="2" fillId="0" borderId="10" xfId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right" vertical="center"/>
    </xf>
    <xf numFmtId="0" fontId="0" fillId="0" borderId="12" xfId="0" quotePrefix="1" applyBorder="1" applyAlignment="1">
      <alignment horizontal="center" vertical="center"/>
    </xf>
    <xf numFmtId="0" fontId="2" fillId="0" borderId="13" xfId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0" fillId="0" borderId="5" xfId="0" quotePrefix="1" applyBorder="1" applyAlignment="1">
      <alignment horizontal="center" vertical="center"/>
    </xf>
    <xf numFmtId="0" fontId="2" fillId="0" borderId="19" xfId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quotePrefix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right" vertical="center" wrapText="1"/>
    </xf>
    <xf numFmtId="0" fontId="0" fillId="0" borderId="9" xfId="0" applyBorder="1" applyAlignment="1">
      <alignment vertical="center" wrapText="1"/>
    </xf>
    <xf numFmtId="0" fontId="2" fillId="0" borderId="10" xfId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right" vertical="center" wrapText="1"/>
    </xf>
    <xf numFmtId="0" fontId="0" fillId="0" borderId="12" xfId="0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2" fillId="0" borderId="13" xfId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right" vertical="center"/>
    </xf>
    <xf numFmtId="0" fontId="0" fillId="0" borderId="5" xfId="0" quotePrefix="1" applyFill="1" applyBorder="1" applyAlignment="1">
      <alignment vertical="center"/>
    </xf>
    <xf numFmtId="0" fontId="0" fillId="0" borderId="2" xfId="0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right" vertical="center" wrapText="1"/>
    </xf>
    <xf numFmtId="0" fontId="0" fillId="0" borderId="2" xfId="0" quotePrefix="1" applyFill="1" applyBorder="1" applyAlignment="1">
      <alignment horizontal="left" vertical="center" wrapText="1"/>
    </xf>
    <xf numFmtId="0" fontId="0" fillId="0" borderId="9" xfId="0" quotePrefix="1" applyFill="1" applyBorder="1" applyAlignment="1">
      <alignment horizontal="center" vertical="center" wrapText="1"/>
    </xf>
    <xf numFmtId="0" fontId="0" fillId="0" borderId="9" xfId="0" applyFill="1" applyBorder="1" applyAlignment="1">
      <alignment horizontal="right" vertical="center" wrapText="1"/>
    </xf>
    <xf numFmtId="0" fontId="0" fillId="0" borderId="9" xfId="0" quotePrefix="1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right" vertical="center" wrapText="1"/>
    </xf>
    <xf numFmtId="0" fontId="0" fillId="0" borderId="12" xfId="0" quotePrefix="1" applyFill="1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5" xfId="0" quotePrefix="1" applyFill="1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0" fontId="0" fillId="0" borderId="2" xfId="0" quotePrefix="1" applyBorder="1" applyAlignment="1">
      <alignment vertical="center" wrapText="1"/>
    </xf>
    <xf numFmtId="0" fontId="0" fillId="0" borderId="2" xfId="0" applyFill="1" applyBorder="1" applyAlignment="1">
      <alignment horizontal="right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9" xfId="0" applyFill="1" applyBorder="1" applyAlignment="1">
      <alignment horizontal="right" vertical="center"/>
    </xf>
    <xf numFmtId="0" fontId="0" fillId="0" borderId="9" xfId="0" applyFill="1" applyBorder="1" applyAlignment="1">
      <alignment horizontal="left" vertical="center"/>
    </xf>
    <xf numFmtId="0" fontId="0" fillId="0" borderId="12" xfId="0" applyFill="1" applyBorder="1" applyAlignment="1">
      <alignment vertical="center" wrapText="1"/>
    </xf>
    <xf numFmtId="0" fontId="0" fillId="0" borderId="12" xfId="0" applyFill="1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right" vertical="center" wrapText="1"/>
    </xf>
    <xf numFmtId="0" fontId="0" fillId="0" borderId="5" xfId="0" quotePrefix="1" applyBorder="1" applyAlignment="1">
      <alignment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5" xfId="0" quotePrefix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quotePrefix="1" applyFill="1" applyBorder="1" applyAlignment="1">
      <alignment horizontal="left" vertical="center"/>
    </xf>
    <xf numFmtId="0" fontId="0" fillId="0" borderId="12" xfId="0" quotePrefix="1" applyFill="1" applyBorder="1" applyAlignment="1">
      <alignment horizontal="left" vertical="center"/>
    </xf>
    <xf numFmtId="0" fontId="0" fillId="0" borderId="2" xfId="0" quotePrefix="1" applyBorder="1" applyAlignment="1">
      <alignment horizontal="right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right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5" xfId="0" quotePrefix="1" applyBorder="1" applyAlignment="1">
      <alignment horizontal="right" vertical="center"/>
    </xf>
    <xf numFmtId="0" fontId="0" fillId="0" borderId="9" xfId="0" quotePrefix="1" applyBorder="1" applyAlignment="1">
      <alignment horizontal="right" vertical="center"/>
    </xf>
    <xf numFmtId="0" fontId="0" fillId="0" borderId="9" xfId="0" quotePrefix="1" applyBorder="1" applyAlignment="1">
      <alignment vertical="center" wrapText="1"/>
    </xf>
    <xf numFmtId="0" fontId="0" fillId="0" borderId="12" xfId="0" quotePrefix="1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2" xfId="0" quotePrefix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0" fillId="0" borderId="9" xfId="0" quotePrefix="1" applyBorder="1" applyAlignment="1">
      <alignment horizontal="right" vertical="center"/>
    </xf>
    <xf numFmtId="0" fontId="0" fillId="0" borderId="12" xfId="0" quotePrefix="1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0" fillId="0" borderId="24" xfId="0" applyBorder="1" applyAlignment="1">
      <alignment horizontal="right" vertical="center"/>
    </xf>
    <xf numFmtId="0" fontId="0" fillId="0" borderId="24" xfId="0" quotePrefix="1" applyBorder="1" applyAlignment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jct.2018.08.021" TargetMode="External"/><Relationship Id="rId3" Type="http://schemas.openxmlformats.org/officeDocument/2006/relationships/hyperlink" Target="https://doi.org/10.1016/j.bpc.2020.106330" TargetMode="External"/><Relationship Id="rId7" Type="http://schemas.openxmlformats.org/officeDocument/2006/relationships/hyperlink" Target="http://dx.doi.org/10.1016/j.fluid.2016.01.023" TargetMode="External"/><Relationship Id="rId2" Type="http://schemas.openxmlformats.org/officeDocument/2006/relationships/hyperlink" Target="https://doi.org/10.1016/j.tca.2017.12.006" TargetMode="External"/><Relationship Id="rId1" Type="http://schemas.openxmlformats.org/officeDocument/2006/relationships/hyperlink" Target="https://doi.org/10.1016/j.fluid.2016.01.035" TargetMode="External"/><Relationship Id="rId6" Type="http://schemas.openxmlformats.org/officeDocument/2006/relationships/hyperlink" Target="http://dx.doi.org/10.1016/j.bpc.2017.02.005" TargetMode="External"/><Relationship Id="rId5" Type="http://schemas.openxmlformats.org/officeDocument/2006/relationships/hyperlink" Target="http://dx.doi.org/10.1016/j.bpc.2014.08.00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016/j.bpc.2012.12.006" TargetMode="External"/><Relationship Id="rId9" Type="http://schemas.openxmlformats.org/officeDocument/2006/relationships/hyperlink" Target="https://doi.org/10.1016/j.bpc.2020.106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F419-5A7F-4FA2-882C-DD66F06B5FB5}">
  <dimension ref="A1:Q169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70" sqref="E70:E73"/>
    </sheetView>
  </sheetViews>
  <sheetFormatPr defaultRowHeight="14.5" x14ac:dyDescent="0.35"/>
  <cols>
    <col min="1" max="1" width="5.81640625" style="3" customWidth="1"/>
    <col min="2" max="2" width="18.453125" style="86" customWidth="1"/>
    <col min="3" max="3" width="8.90625" style="3" customWidth="1"/>
    <col min="4" max="4" width="36.26953125" style="9" customWidth="1"/>
    <col min="5" max="5" width="8.7265625" style="3"/>
    <col min="6" max="6" width="12.453125" style="3" customWidth="1"/>
    <col min="7" max="7" width="17.81640625" style="86" customWidth="1"/>
    <col min="8" max="8" width="18.81640625" style="3" customWidth="1"/>
    <col min="9" max="9" width="13.36328125" style="3" customWidth="1"/>
    <col min="10" max="10" width="8.08984375" style="3" customWidth="1"/>
    <col min="11" max="11" width="13.54296875" style="12" customWidth="1"/>
    <col min="12" max="12" width="14.6328125" style="4" customWidth="1"/>
    <col min="13" max="13" width="8.1796875" style="3" customWidth="1"/>
    <col min="14" max="14" width="13.453125" style="12" customWidth="1"/>
    <col min="15" max="15" width="14.36328125" style="4" customWidth="1"/>
    <col min="16" max="16" width="41.453125" style="11" customWidth="1"/>
    <col min="17" max="17" width="29.36328125" style="11" customWidth="1"/>
  </cols>
  <sheetData>
    <row r="1" spans="1:17" ht="15" thickBot="1" x14ac:dyDescent="0.4"/>
    <row r="2" spans="1:17" ht="14.5" customHeight="1" x14ac:dyDescent="0.35">
      <c r="A2" s="67" t="s">
        <v>0</v>
      </c>
      <c r="B2" s="69" t="s">
        <v>9</v>
      </c>
      <c r="C2" s="69" t="s">
        <v>265</v>
      </c>
      <c r="D2" s="68" t="s">
        <v>1</v>
      </c>
      <c r="E2" s="68" t="s">
        <v>2</v>
      </c>
      <c r="F2" s="70" t="s">
        <v>3</v>
      </c>
      <c r="G2" s="69" t="s">
        <v>6</v>
      </c>
      <c r="H2" s="69" t="s">
        <v>95</v>
      </c>
      <c r="I2" s="69"/>
      <c r="J2" s="69" t="s">
        <v>266</v>
      </c>
      <c r="K2" s="69"/>
      <c r="L2" s="69"/>
      <c r="M2" s="69" t="s">
        <v>49</v>
      </c>
      <c r="N2" s="69"/>
      <c r="O2" s="69"/>
      <c r="P2" s="69" t="s">
        <v>15</v>
      </c>
      <c r="Q2" s="71" t="s">
        <v>383</v>
      </c>
    </row>
    <row r="3" spans="1:17" ht="15" thickBot="1" x14ac:dyDescent="0.4">
      <c r="A3" s="72"/>
      <c r="B3" s="74"/>
      <c r="C3" s="74"/>
      <c r="D3" s="73"/>
      <c r="E3" s="73"/>
      <c r="F3" s="75" t="s">
        <v>4</v>
      </c>
      <c r="G3" s="74"/>
      <c r="H3" s="74"/>
      <c r="I3" s="74"/>
      <c r="J3" s="74"/>
      <c r="K3" s="74"/>
      <c r="L3" s="74"/>
      <c r="M3" s="74"/>
      <c r="N3" s="74"/>
      <c r="O3" s="74"/>
      <c r="P3" s="74"/>
      <c r="Q3" s="76"/>
    </row>
    <row r="4" spans="1:17" ht="29.5" customHeight="1" x14ac:dyDescent="0.35">
      <c r="A4" s="215">
        <v>1</v>
      </c>
      <c r="B4" s="225" t="s">
        <v>10</v>
      </c>
      <c r="C4" s="213">
        <v>1</v>
      </c>
      <c r="D4" s="94" t="s">
        <v>284</v>
      </c>
      <c r="E4" s="94" t="s">
        <v>5</v>
      </c>
      <c r="F4" s="94">
        <v>323.14999999999998</v>
      </c>
      <c r="G4" s="94" t="s">
        <v>319</v>
      </c>
      <c r="H4" s="95" t="s">
        <v>307</v>
      </c>
      <c r="I4" s="96" t="s">
        <v>8</v>
      </c>
      <c r="J4" s="96" t="s">
        <v>217</v>
      </c>
      <c r="K4" s="97">
        <f>(0.1034+0.1004)/2</f>
        <v>0.1019</v>
      </c>
      <c r="L4" s="98" t="s">
        <v>8</v>
      </c>
      <c r="M4" s="99" t="s">
        <v>34</v>
      </c>
      <c r="N4" s="100">
        <f>(8.7411+8.5204)/2</f>
        <v>8.630749999999999</v>
      </c>
      <c r="O4" s="101" t="s">
        <v>8</v>
      </c>
      <c r="P4" s="94"/>
      <c r="Q4" s="102" t="s">
        <v>384</v>
      </c>
    </row>
    <row r="5" spans="1:17" ht="29.5" customHeight="1" x14ac:dyDescent="0.35">
      <c r="A5" s="216"/>
      <c r="B5" s="226"/>
      <c r="C5" s="59"/>
      <c r="D5" s="44"/>
      <c r="E5" s="44"/>
      <c r="F5" s="44"/>
      <c r="G5" s="44"/>
      <c r="H5" s="18" t="s">
        <v>308</v>
      </c>
      <c r="I5" s="18" t="s">
        <v>8</v>
      </c>
      <c r="J5" s="18" t="s">
        <v>217</v>
      </c>
      <c r="K5" s="33">
        <f>(0.327+0.3634)/2</f>
        <v>0.34520000000000001</v>
      </c>
      <c r="L5" s="7" t="s">
        <v>8</v>
      </c>
      <c r="M5" s="5" t="s">
        <v>34</v>
      </c>
      <c r="N5" s="32">
        <f>(21.8045+24.0503)/2</f>
        <v>22.927399999999999</v>
      </c>
      <c r="O5" s="6" t="s">
        <v>8</v>
      </c>
      <c r="P5" s="44"/>
      <c r="Q5" s="77"/>
    </row>
    <row r="6" spans="1:17" ht="29.5" customHeight="1" x14ac:dyDescent="0.35">
      <c r="A6" s="216"/>
      <c r="B6" s="226"/>
      <c r="C6" s="59"/>
      <c r="D6" s="44"/>
      <c r="E6" s="44"/>
      <c r="F6" s="44"/>
      <c r="G6" s="44"/>
      <c r="H6" s="18" t="s">
        <v>309</v>
      </c>
      <c r="I6" s="18" t="s">
        <v>8</v>
      </c>
      <c r="J6" s="18" t="s">
        <v>217</v>
      </c>
      <c r="K6" s="33">
        <f>(2.322+1.7509)/2</f>
        <v>2.0364499999999999</v>
      </c>
      <c r="L6" s="7" t="s">
        <v>8</v>
      </c>
      <c r="M6" s="5" t="s">
        <v>34</v>
      </c>
      <c r="N6" s="32">
        <f>(102.8982+78.4171)/2</f>
        <v>90.657650000000004</v>
      </c>
      <c r="O6" s="6" t="s">
        <v>8</v>
      </c>
      <c r="P6" s="44"/>
      <c r="Q6" s="77"/>
    </row>
    <row r="7" spans="1:17" ht="29.5" customHeight="1" x14ac:dyDescent="0.35">
      <c r="A7" s="216"/>
      <c r="B7" s="226"/>
      <c r="C7" s="59"/>
      <c r="D7" s="44"/>
      <c r="E7" s="44"/>
      <c r="F7" s="44"/>
      <c r="G7" s="44"/>
      <c r="H7" s="18" t="s">
        <v>310</v>
      </c>
      <c r="I7" s="18" t="s">
        <v>8</v>
      </c>
      <c r="J7" s="18" t="s">
        <v>217</v>
      </c>
      <c r="K7" s="33">
        <f>(0.3266+0.2545)/2</f>
        <v>0.29054999999999997</v>
      </c>
      <c r="L7" s="7" t="s">
        <v>8</v>
      </c>
      <c r="M7" s="5" t="s">
        <v>34</v>
      </c>
      <c r="N7" s="32">
        <f>(33.912+25.4364)/2</f>
        <v>29.674199999999999</v>
      </c>
      <c r="O7" s="6" t="s">
        <v>8</v>
      </c>
      <c r="P7" s="44"/>
      <c r="Q7" s="77"/>
    </row>
    <row r="8" spans="1:17" ht="29.5" customHeight="1" x14ac:dyDescent="0.35">
      <c r="A8" s="216"/>
      <c r="B8" s="226"/>
      <c r="C8" s="59"/>
      <c r="D8" s="44"/>
      <c r="E8" s="44"/>
      <c r="F8" s="44"/>
      <c r="G8" s="44"/>
      <c r="H8" s="18" t="s">
        <v>311</v>
      </c>
      <c r="I8" s="18" t="s">
        <v>8</v>
      </c>
      <c r="J8" s="18" t="s">
        <v>217</v>
      </c>
      <c r="K8" s="33">
        <f>(0.6234+0.3051)/2</f>
        <v>0.46424999999999994</v>
      </c>
      <c r="L8" s="7" t="s">
        <v>8</v>
      </c>
      <c r="M8" s="5" t="s">
        <v>34</v>
      </c>
      <c r="N8" s="32">
        <f>(40.4978+21.2006)/2</f>
        <v>30.8492</v>
      </c>
      <c r="O8" s="6"/>
      <c r="P8" s="44"/>
      <c r="Q8" s="77"/>
    </row>
    <row r="9" spans="1:17" ht="29" customHeight="1" x14ac:dyDescent="0.35">
      <c r="A9" s="216"/>
      <c r="B9" s="226"/>
      <c r="C9" s="59">
        <v>2</v>
      </c>
      <c r="D9" s="44" t="s">
        <v>285</v>
      </c>
      <c r="E9" s="44" t="s">
        <v>5</v>
      </c>
      <c r="F9" s="44">
        <v>323.14999999999998</v>
      </c>
      <c r="G9" s="44" t="s">
        <v>320</v>
      </c>
      <c r="H9" s="18" t="s">
        <v>312</v>
      </c>
      <c r="I9" s="18" t="s">
        <v>8</v>
      </c>
      <c r="J9" s="18" t="s">
        <v>217</v>
      </c>
      <c r="K9" s="33">
        <f>(2.0818+0.8093)/2</f>
        <v>1.4455499999999999</v>
      </c>
      <c r="L9" s="7" t="s">
        <v>8</v>
      </c>
      <c r="M9" s="5" t="s">
        <v>34</v>
      </c>
      <c r="N9" s="32">
        <f>(26.5419+10.4817)/2</f>
        <v>18.511800000000001</v>
      </c>
      <c r="O9" s="6" t="s">
        <v>8</v>
      </c>
      <c r="P9" s="44"/>
      <c r="Q9" s="77"/>
    </row>
    <row r="10" spans="1:17" x14ac:dyDescent="0.35">
      <c r="A10" s="216"/>
      <c r="B10" s="226"/>
      <c r="C10" s="59"/>
      <c r="D10" s="44"/>
      <c r="E10" s="44"/>
      <c r="F10" s="44"/>
      <c r="G10" s="44"/>
      <c r="H10" s="18" t="s">
        <v>313</v>
      </c>
      <c r="I10" s="18" t="s">
        <v>8</v>
      </c>
      <c r="J10" s="18" t="s">
        <v>217</v>
      </c>
      <c r="K10" s="33">
        <v>0.64139999999999997</v>
      </c>
      <c r="L10" s="7" t="s">
        <v>8</v>
      </c>
      <c r="M10" s="5" t="s">
        <v>34</v>
      </c>
      <c r="N10" s="32">
        <v>8.3754000000000008</v>
      </c>
      <c r="O10" s="6" t="s">
        <v>8</v>
      </c>
      <c r="P10" s="44"/>
      <c r="Q10" s="77"/>
    </row>
    <row r="11" spans="1:17" x14ac:dyDescent="0.35">
      <c r="A11" s="216"/>
      <c r="B11" s="226"/>
      <c r="C11" s="59"/>
      <c r="D11" s="44"/>
      <c r="E11" s="44"/>
      <c r="F11" s="44"/>
      <c r="G11" s="44"/>
      <c r="H11" s="18" t="s">
        <v>314</v>
      </c>
      <c r="I11" s="18" t="s">
        <v>8</v>
      </c>
      <c r="J11" s="18" t="s">
        <v>217</v>
      </c>
      <c r="K11" s="33">
        <v>0.52980000000000005</v>
      </c>
      <c r="L11" s="7" t="s">
        <v>8</v>
      </c>
      <c r="M11" s="5" t="s">
        <v>34</v>
      </c>
      <c r="N11" s="32">
        <v>6.9480000000000004</v>
      </c>
      <c r="O11" s="6" t="s">
        <v>8</v>
      </c>
      <c r="P11" s="44"/>
      <c r="Q11" s="77"/>
    </row>
    <row r="12" spans="1:17" x14ac:dyDescent="0.35">
      <c r="A12" s="216"/>
      <c r="B12" s="226"/>
      <c r="C12" s="59"/>
      <c r="D12" s="44"/>
      <c r="E12" s="44"/>
      <c r="F12" s="44"/>
      <c r="G12" s="44"/>
      <c r="H12" s="18" t="s">
        <v>315</v>
      </c>
      <c r="I12" s="18" t="s">
        <v>8</v>
      </c>
      <c r="J12" s="18" t="s">
        <v>217</v>
      </c>
      <c r="K12" s="33">
        <f>(0.4995+0.4558)/2</f>
        <v>0.47765000000000002</v>
      </c>
      <c r="L12" s="7" t="s">
        <v>8</v>
      </c>
      <c r="M12" s="5" t="s">
        <v>34</v>
      </c>
      <c r="N12" s="32">
        <f>(6.5742+6.0171)/2</f>
        <v>6.2956500000000002</v>
      </c>
      <c r="O12" s="6" t="s">
        <v>8</v>
      </c>
      <c r="P12" s="44"/>
      <c r="Q12" s="77"/>
    </row>
    <row r="13" spans="1:17" x14ac:dyDescent="0.35">
      <c r="A13" s="216"/>
      <c r="B13" s="226"/>
      <c r="C13" s="59"/>
      <c r="D13" s="44"/>
      <c r="E13" s="44"/>
      <c r="F13" s="44"/>
      <c r="G13" s="44"/>
      <c r="H13" s="18" t="s">
        <v>316</v>
      </c>
      <c r="I13" s="18" t="s">
        <v>8</v>
      </c>
      <c r="J13" s="18" t="s">
        <v>217</v>
      </c>
      <c r="K13" s="33">
        <f>(0.4596+0.4297)/2</f>
        <v>0.44464999999999999</v>
      </c>
      <c r="L13" s="7" t="s">
        <v>8</v>
      </c>
      <c r="M13" s="5" t="s">
        <v>34</v>
      </c>
      <c r="N13" s="32">
        <f>(6.5302+6.1191)/2</f>
        <v>6.3246500000000001</v>
      </c>
      <c r="O13" s="6" t="s">
        <v>8</v>
      </c>
      <c r="P13" s="44"/>
      <c r="Q13" s="77"/>
    </row>
    <row r="14" spans="1:17" x14ac:dyDescent="0.35">
      <c r="A14" s="216"/>
      <c r="B14" s="226"/>
      <c r="C14" s="59"/>
      <c r="D14" s="44"/>
      <c r="E14" s="44"/>
      <c r="F14" s="44"/>
      <c r="G14" s="44"/>
      <c r="H14" s="18" t="s">
        <v>317</v>
      </c>
      <c r="I14" s="18" t="s">
        <v>8</v>
      </c>
      <c r="J14" s="18" t="s">
        <v>217</v>
      </c>
      <c r="K14" s="33">
        <f>(0.5117+0.5408)/2</f>
        <v>0.52625</v>
      </c>
      <c r="L14" s="7" t="s">
        <v>8</v>
      </c>
      <c r="M14" s="5" t="s">
        <v>34</v>
      </c>
      <c r="N14" s="32">
        <f>(7.5707+8.0019)/2</f>
        <v>7.7862999999999998</v>
      </c>
      <c r="O14" s="6" t="s">
        <v>8</v>
      </c>
      <c r="P14" s="44"/>
      <c r="Q14" s="77"/>
    </row>
    <row r="15" spans="1:17" x14ac:dyDescent="0.35">
      <c r="A15" s="216"/>
      <c r="B15" s="226"/>
      <c r="C15" s="59"/>
      <c r="D15" s="44"/>
      <c r="E15" s="44"/>
      <c r="F15" s="44"/>
      <c r="G15" s="44"/>
      <c r="H15" s="18" t="s">
        <v>318</v>
      </c>
      <c r="I15" s="18" t="s">
        <v>8</v>
      </c>
      <c r="J15" s="18" t="s">
        <v>217</v>
      </c>
      <c r="K15" s="33">
        <f>(0.426+0.5161)/2</f>
        <v>0.47104999999999997</v>
      </c>
      <c r="L15" s="7"/>
      <c r="M15" s="5" t="s">
        <v>34</v>
      </c>
      <c r="N15" s="32">
        <f>(6.3999+7.7424)/2</f>
        <v>7.0711499999999994</v>
      </c>
      <c r="O15" s="6" t="s">
        <v>8</v>
      </c>
      <c r="P15" s="44"/>
      <c r="Q15" s="77"/>
    </row>
    <row r="16" spans="1:17" ht="29" x14ac:dyDescent="0.35">
      <c r="A16" s="216"/>
      <c r="B16" s="226"/>
      <c r="C16" s="59">
        <v>3</v>
      </c>
      <c r="D16" s="47" t="s">
        <v>286</v>
      </c>
      <c r="E16" s="44" t="s">
        <v>5</v>
      </c>
      <c r="F16" s="44">
        <v>323.14999999999998</v>
      </c>
      <c r="G16" s="44" t="s">
        <v>321</v>
      </c>
      <c r="H16" s="24" t="s">
        <v>262</v>
      </c>
      <c r="I16" s="25" t="s">
        <v>8</v>
      </c>
      <c r="J16" s="25" t="s">
        <v>217</v>
      </c>
      <c r="K16" s="32">
        <v>8.9099999999999999E-2</v>
      </c>
      <c r="L16" s="5" t="s">
        <v>8</v>
      </c>
      <c r="M16" s="38" t="s">
        <v>34</v>
      </c>
      <c r="N16" s="48">
        <v>5.0999999999999996</v>
      </c>
      <c r="O16" s="52" t="s">
        <v>7</v>
      </c>
      <c r="P16" s="44"/>
      <c r="Q16" s="77"/>
    </row>
    <row r="17" spans="1:17" ht="29" x14ac:dyDescent="0.35">
      <c r="A17" s="216"/>
      <c r="B17" s="226"/>
      <c r="C17" s="59"/>
      <c r="D17" s="47"/>
      <c r="E17" s="44"/>
      <c r="F17" s="44"/>
      <c r="G17" s="44"/>
      <c r="H17" s="24" t="s">
        <v>263</v>
      </c>
      <c r="I17" s="25" t="s">
        <v>8</v>
      </c>
      <c r="J17" s="25" t="s">
        <v>217</v>
      </c>
      <c r="K17" s="32">
        <v>8.6099999999999996E-2</v>
      </c>
      <c r="L17" s="5" t="s">
        <v>8</v>
      </c>
      <c r="M17" s="38"/>
      <c r="N17" s="48"/>
      <c r="O17" s="52"/>
      <c r="P17" s="44"/>
      <c r="Q17" s="77"/>
    </row>
    <row r="18" spans="1:17" ht="29.5" thickBot="1" x14ac:dyDescent="0.4">
      <c r="A18" s="217"/>
      <c r="B18" s="227"/>
      <c r="C18" s="214"/>
      <c r="D18" s="103"/>
      <c r="E18" s="104"/>
      <c r="F18" s="104"/>
      <c r="G18" s="104"/>
      <c r="H18" s="87" t="s">
        <v>264</v>
      </c>
      <c r="I18" s="81" t="s">
        <v>8</v>
      </c>
      <c r="J18" s="81" t="s">
        <v>217</v>
      </c>
      <c r="K18" s="84">
        <v>1.7408999999999999</v>
      </c>
      <c r="L18" s="85" t="s">
        <v>8</v>
      </c>
      <c r="M18" s="83"/>
      <c r="N18" s="105"/>
      <c r="O18" s="106"/>
      <c r="P18" s="104"/>
      <c r="Q18" s="107"/>
    </row>
    <row r="19" spans="1:17" ht="29" customHeight="1" x14ac:dyDescent="0.35">
      <c r="A19" s="218">
        <v>2</v>
      </c>
      <c r="B19" s="225" t="s">
        <v>14</v>
      </c>
      <c r="C19" s="220">
        <v>1</v>
      </c>
      <c r="D19" s="42" t="s">
        <v>401</v>
      </c>
      <c r="E19" s="42" t="s">
        <v>11</v>
      </c>
      <c r="F19" s="46">
        <v>313.14999999999998</v>
      </c>
      <c r="G19" s="42" t="s">
        <v>269</v>
      </c>
      <c r="H19" s="21" t="s">
        <v>267</v>
      </c>
      <c r="I19" s="28" t="s">
        <v>268</v>
      </c>
      <c r="J19" s="28" t="s">
        <v>50</v>
      </c>
      <c r="K19" s="88">
        <f>(0.0847*(0.8178^2))/(0.0025*(1000/46)^2)</f>
        <v>4.7946098963347193E-2</v>
      </c>
      <c r="L19" s="89" t="s">
        <v>8</v>
      </c>
      <c r="M19" s="46" t="s">
        <v>34</v>
      </c>
      <c r="N19" s="90">
        <v>8</v>
      </c>
      <c r="O19" s="91" t="s">
        <v>13</v>
      </c>
      <c r="P19" s="42" t="s">
        <v>40</v>
      </c>
      <c r="Q19" s="92" t="s">
        <v>385</v>
      </c>
    </row>
    <row r="20" spans="1:17" ht="29" customHeight="1" x14ac:dyDescent="0.35">
      <c r="A20" s="216"/>
      <c r="B20" s="226"/>
      <c r="C20" s="59"/>
      <c r="D20" s="44"/>
      <c r="E20" s="44"/>
      <c r="F20" s="38"/>
      <c r="G20" s="44"/>
      <c r="H20" s="24" t="s">
        <v>270</v>
      </c>
      <c r="I20" s="18" t="s">
        <v>268</v>
      </c>
      <c r="J20" s="18" t="s">
        <v>50</v>
      </c>
      <c r="K20" s="14">
        <f>(0.238*(1.162^2))/(0.0101*((1000/46)^2))</f>
        <v>6.7326106965544544E-2</v>
      </c>
      <c r="L20" s="15" t="s">
        <v>8</v>
      </c>
      <c r="M20" s="38"/>
      <c r="N20" s="48"/>
      <c r="O20" s="52"/>
      <c r="P20" s="44"/>
      <c r="Q20" s="78"/>
    </row>
    <row r="21" spans="1:17" ht="29" customHeight="1" x14ac:dyDescent="0.35">
      <c r="A21" s="216"/>
      <c r="B21" s="226"/>
      <c r="C21" s="59"/>
      <c r="D21" s="44"/>
      <c r="E21" s="44"/>
      <c r="F21" s="38"/>
      <c r="G21" s="44"/>
      <c r="H21" s="24" t="s">
        <v>271</v>
      </c>
      <c r="I21" s="18" t="s">
        <v>268</v>
      </c>
      <c r="J21" s="18" t="s">
        <v>50</v>
      </c>
      <c r="K21" s="14">
        <f>(0.2495*(1.6395^2))/(0.0152*((1000/46)^2))</f>
        <v>9.3360994099046038E-2</v>
      </c>
      <c r="L21" s="15" t="s">
        <v>8</v>
      </c>
      <c r="M21" s="38"/>
      <c r="N21" s="48"/>
      <c r="O21" s="52"/>
      <c r="P21" s="44"/>
      <c r="Q21" s="78"/>
    </row>
    <row r="22" spans="1:17" ht="29" customHeight="1" x14ac:dyDescent="0.35">
      <c r="A22" s="216"/>
      <c r="B22" s="226"/>
      <c r="C22" s="59"/>
      <c r="D22" s="44"/>
      <c r="E22" s="44"/>
      <c r="F22" s="38"/>
      <c r="G22" s="44"/>
      <c r="H22" s="24" t="s">
        <v>272</v>
      </c>
      <c r="I22" s="18" t="s">
        <v>268</v>
      </c>
      <c r="J22" s="18" t="s">
        <v>50</v>
      </c>
      <c r="K22" s="14">
        <f>(0.4242*(1.632^2))/(0.0208*((1000/46)^2))</f>
        <v>0.11493791149292307</v>
      </c>
      <c r="L22" s="15" t="s">
        <v>8</v>
      </c>
      <c r="M22" s="38"/>
      <c r="N22" s="48"/>
      <c r="O22" s="52"/>
      <c r="P22" s="44"/>
      <c r="Q22" s="78"/>
    </row>
    <row r="23" spans="1:17" ht="29" customHeight="1" x14ac:dyDescent="0.35">
      <c r="A23" s="216"/>
      <c r="B23" s="226"/>
      <c r="C23" s="59"/>
      <c r="D23" s="44"/>
      <c r="E23" s="44"/>
      <c r="F23" s="38">
        <v>323.14999999999998</v>
      </c>
      <c r="G23" s="44"/>
      <c r="H23" s="24" t="s">
        <v>273</v>
      </c>
      <c r="I23" s="18" t="s">
        <v>268</v>
      </c>
      <c r="J23" s="18" t="s">
        <v>50</v>
      </c>
      <c r="K23" s="14">
        <f>(0.2919*(0.9892^2))/(0.0216*((1000/46)^2))</f>
        <v>2.7981063855048883E-2</v>
      </c>
      <c r="L23" s="15" t="s">
        <v>8</v>
      </c>
      <c r="M23" s="38" t="s">
        <v>34</v>
      </c>
      <c r="N23" s="48">
        <v>6</v>
      </c>
      <c r="O23" s="52" t="s">
        <v>12</v>
      </c>
      <c r="P23" s="44" t="s">
        <v>40</v>
      </c>
      <c r="Q23" s="78"/>
    </row>
    <row r="24" spans="1:17" ht="29" x14ac:dyDescent="0.35">
      <c r="A24" s="216"/>
      <c r="B24" s="226"/>
      <c r="C24" s="59"/>
      <c r="D24" s="44"/>
      <c r="E24" s="44"/>
      <c r="F24" s="38"/>
      <c r="G24" s="44"/>
      <c r="H24" s="24" t="s">
        <v>270</v>
      </c>
      <c r="I24" s="18" t="s">
        <v>268</v>
      </c>
      <c r="J24" s="18" t="s">
        <v>50</v>
      </c>
      <c r="K24" s="14">
        <f>(0.2662*(1.1302^2))/(0.0195*((1000/46)^2))</f>
        <v>3.6897735138952205E-2</v>
      </c>
      <c r="L24" s="15" t="s">
        <v>8</v>
      </c>
      <c r="M24" s="38"/>
      <c r="N24" s="48"/>
      <c r="O24" s="52"/>
      <c r="P24" s="44"/>
      <c r="Q24" s="78"/>
    </row>
    <row r="25" spans="1:17" ht="29" x14ac:dyDescent="0.35">
      <c r="A25" s="216"/>
      <c r="B25" s="226"/>
      <c r="C25" s="59"/>
      <c r="D25" s="44"/>
      <c r="E25" s="44"/>
      <c r="F25" s="38"/>
      <c r="G25" s="44"/>
      <c r="H25" s="24" t="s">
        <v>274</v>
      </c>
      <c r="I25" s="18" t="s">
        <v>268</v>
      </c>
      <c r="J25" s="18" t="s">
        <v>50</v>
      </c>
      <c r="K25" s="14">
        <f>(0.2824*(1.6503^2))/(0.0287*((1000/46)^2))</f>
        <v>5.6705379114852128E-2</v>
      </c>
      <c r="L25" s="15" t="s">
        <v>8</v>
      </c>
      <c r="M25" s="38"/>
      <c r="N25" s="48"/>
      <c r="O25" s="52"/>
      <c r="P25" s="44"/>
      <c r="Q25" s="78"/>
    </row>
    <row r="26" spans="1:17" ht="29" x14ac:dyDescent="0.35">
      <c r="A26" s="216"/>
      <c r="B26" s="226"/>
      <c r="C26" s="59"/>
      <c r="D26" s="44"/>
      <c r="E26" s="44"/>
      <c r="F26" s="38"/>
      <c r="G26" s="44"/>
      <c r="H26" s="24" t="s">
        <v>275</v>
      </c>
      <c r="I26" s="18" t="s">
        <v>268</v>
      </c>
      <c r="J26" s="18" t="s">
        <v>50</v>
      </c>
      <c r="K26" s="14">
        <f>(0.2714*(2.1301^2))/(0.0355*((1000/46)^2))</f>
        <v>7.34001822705697E-2</v>
      </c>
      <c r="L26" s="15" t="s">
        <v>8</v>
      </c>
      <c r="M26" s="38"/>
      <c r="N26" s="48"/>
      <c r="O26" s="52"/>
      <c r="P26" s="44"/>
      <c r="Q26" s="78"/>
    </row>
    <row r="27" spans="1:17" ht="29" x14ac:dyDescent="0.35">
      <c r="A27" s="216"/>
      <c r="B27" s="226"/>
      <c r="C27" s="59"/>
      <c r="D27" s="44"/>
      <c r="E27" s="44"/>
      <c r="F27" s="38"/>
      <c r="G27" s="44"/>
      <c r="H27" s="24" t="s">
        <v>276</v>
      </c>
      <c r="I27" s="18" t="s">
        <v>268</v>
      </c>
      <c r="J27" s="18" t="s">
        <v>50</v>
      </c>
      <c r="K27" s="14">
        <f>(0.1509*(1.4996^2))/(0.0211*((1000/46)^2))</f>
        <v>3.4030890322687392E-2</v>
      </c>
      <c r="L27" s="15" t="s">
        <v>8</v>
      </c>
      <c r="M27" s="38"/>
      <c r="N27" s="48"/>
      <c r="O27" s="52"/>
      <c r="P27" s="44"/>
      <c r="Q27" s="78"/>
    </row>
    <row r="28" spans="1:17" ht="29.5" thickBot="1" x14ac:dyDescent="0.4">
      <c r="A28" s="219"/>
      <c r="B28" s="227"/>
      <c r="C28" s="221"/>
      <c r="D28" s="41"/>
      <c r="E28" s="41"/>
      <c r="F28" s="45"/>
      <c r="G28" s="41"/>
      <c r="H28" s="20" t="s">
        <v>277</v>
      </c>
      <c r="I28" s="27" t="s">
        <v>268</v>
      </c>
      <c r="J28" s="27" t="s">
        <v>50</v>
      </c>
      <c r="K28" s="108">
        <f>(0.4752*(2.5016^2))/(0.0675*((1000/46)^2))</f>
        <v>9.3223211255398383E-2</v>
      </c>
      <c r="L28" s="109" t="s">
        <v>8</v>
      </c>
      <c r="M28" s="45"/>
      <c r="N28" s="110"/>
      <c r="O28" s="111"/>
      <c r="P28" s="41"/>
      <c r="Q28" s="112"/>
    </row>
    <row r="29" spans="1:17" ht="46" customHeight="1" x14ac:dyDescent="0.35">
      <c r="A29" s="210">
        <v>3</v>
      </c>
      <c r="B29" s="225" t="s">
        <v>21</v>
      </c>
      <c r="C29" s="213">
        <v>1</v>
      </c>
      <c r="D29" s="117" t="s">
        <v>278</v>
      </c>
      <c r="E29" s="93" t="s">
        <v>11</v>
      </c>
      <c r="F29" s="118">
        <v>293.14999999999998</v>
      </c>
      <c r="G29" s="94" t="s">
        <v>20</v>
      </c>
      <c r="H29" s="94" t="s">
        <v>279</v>
      </c>
      <c r="I29" s="94" t="s">
        <v>280</v>
      </c>
      <c r="J29" s="94" t="s">
        <v>50</v>
      </c>
      <c r="K29" s="119">
        <f>(9.91*4.9182)/(0.077*55.5093)</f>
        <v>11.403111321395285</v>
      </c>
      <c r="L29" s="120" t="s">
        <v>8</v>
      </c>
      <c r="M29" s="94" t="s">
        <v>35</v>
      </c>
      <c r="N29" s="100" t="s">
        <v>17</v>
      </c>
      <c r="O29" s="98" t="s">
        <v>8</v>
      </c>
      <c r="P29" s="117" t="s">
        <v>16</v>
      </c>
      <c r="Q29" s="121" t="s">
        <v>386</v>
      </c>
    </row>
    <row r="30" spans="1:17" ht="46" customHeight="1" x14ac:dyDescent="0.35">
      <c r="A30" s="211"/>
      <c r="B30" s="226"/>
      <c r="C30" s="59"/>
      <c r="D30" s="47"/>
      <c r="E30" s="38"/>
      <c r="F30" s="25">
        <v>298.14999999999998</v>
      </c>
      <c r="G30" s="44"/>
      <c r="H30" s="44"/>
      <c r="I30" s="44"/>
      <c r="J30" s="44"/>
      <c r="K30" s="29">
        <f>(10.35*4.9392)/(0.076*55.5093)</f>
        <v>12.117628084511582</v>
      </c>
      <c r="L30" s="30" t="s">
        <v>8</v>
      </c>
      <c r="M30" s="44"/>
      <c r="N30" s="32" t="s">
        <v>18</v>
      </c>
      <c r="O30" s="7" t="s">
        <v>8</v>
      </c>
      <c r="P30" s="47"/>
      <c r="Q30" s="78"/>
    </row>
    <row r="31" spans="1:17" ht="46" customHeight="1" thickBot="1" x14ac:dyDescent="0.4">
      <c r="A31" s="212"/>
      <c r="B31" s="227"/>
      <c r="C31" s="214"/>
      <c r="D31" s="103"/>
      <c r="E31" s="83"/>
      <c r="F31" s="81">
        <v>303.14999999999998</v>
      </c>
      <c r="G31" s="104"/>
      <c r="H31" s="104"/>
      <c r="I31" s="104"/>
      <c r="J31" s="104"/>
      <c r="K31" s="123">
        <f>(10.26*4.9318)/(0.067*55.5093)</f>
        <v>13.605429731540747</v>
      </c>
      <c r="L31" s="124" t="s">
        <v>8</v>
      </c>
      <c r="M31" s="104"/>
      <c r="N31" s="84" t="s">
        <v>19</v>
      </c>
      <c r="O31" s="125" t="s">
        <v>8</v>
      </c>
      <c r="P31" s="103"/>
      <c r="Q31" s="126"/>
    </row>
    <row r="32" spans="1:17" ht="49" customHeight="1" x14ac:dyDescent="0.35">
      <c r="A32" s="223">
        <v>4</v>
      </c>
      <c r="B32" s="225" t="s">
        <v>22</v>
      </c>
      <c r="C32" s="220">
        <v>1</v>
      </c>
      <c r="D32" s="114" t="s">
        <v>284</v>
      </c>
      <c r="E32" s="42" t="s">
        <v>5</v>
      </c>
      <c r="F32" s="46">
        <v>323.14999999999998</v>
      </c>
      <c r="G32" s="21" t="s">
        <v>281</v>
      </c>
      <c r="H32" s="201"/>
      <c r="I32" s="202"/>
      <c r="J32" s="202"/>
      <c r="K32" s="202"/>
      <c r="L32" s="203"/>
      <c r="M32" s="46" t="s">
        <v>34</v>
      </c>
      <c r="N32" s="65">
        <v>29</v>
      </c>
      <c r="O32" s="115" t="s">
        <v>24</v>
      </c>
      <c r="P32" s="56" t="s">
        <v>23</v>
      </c>
      <c r="Q32" s="92" t="s">
        <v>387</v>
      </c>
    </row>
    <row r="33" spans="1:17" ht="49" customHeight="1" x14ac:dyDescent="0.35">
      <c r="A33" s="211"/>
      <c r="B33" s="226"/>
      <c r="C33" s="59"/>
      <c r="D33" s="26" t="s">
        <v>285</v>
      </c>
      <c r="E33" s="44"/>
      <c r="F33" s="38"/>
      <c r="G33" s="24" t="s">
        <v>282</v>
      </c>
      <c r="H33" s="204"/>
      <c r="I33" s="205"/>
      <c r="J33" s="205"/>
      <c r="K33" s="205"/>
      <c r="L33" s="206"/>
      <c r="M33" s="38"/>
      <c r="N33" s="32">
        <v>6.7</v>
      </c>
      <c r="O33" s="8" t="s">
        <v>25</v>
      </c>
      <c r="P33" s="47"/>
      <c r="Q33" s="78"/>
    </row>
    <row r="34" spans="1:17" ht="49" customHeight="1" thickBot="1" x14ac:dyDescent="0.4">
      <c r="A34" s="224"/>
      <c r="B34" s="227"/>
      <c r="C34" s="221"/>
      <c r="D34" s="128" t="s">
        <v>286</v>
      </c>
      <c r="E34" s="41"/>
      <c r="F34" s="45"/>
      <c r="G34" s="20" t="s">
        <v>283</v>
      </c>
      <c r="H34" s="207"/>
      <c r="I34" s="208"/>
      <c r="J34" s="208"/>
      <c r="K34" s="208"/>
      <c r="L34" s="209"/>
      <c r="M34" s="45"/>
      <c r="N34" s="129">
        <v>0.64</v>
      </c>
      <c r="O34" s="130" t="s">
        <v>26</v>
      </c>
      <c r="P34" s="55"/>
      <c r="Q34" s="112"/>
    </row>
    <row r="35" spans="1:17" ht="69" customHeight="1" x14ac:dyDescent="0.35">
      <c r="A35" s="210">
        <v>5</v>
      </c>
      <c r="B35" s="225" t="s">
        <v>30</v>
      </c>
      <c r="C35" s="213">
        <v>1</v>
      </c>
      <c r="D35" s="94" t="s">
        <v>287</v>
      </c>
      <c r="E35" s="93" t="s">
        <v>11</v>
      </c>
      <c r="F35" s="94">
        <v>298.14999999999998</v>
      </c>
      <c r="G35" s="94" t="s">
        <v>43</v>
      </c>
      <c r="H35" s="95" t="s">
        <v>322</v>
      </c>
      <c r="I35" s="135" t="s">
        <v>330</v>
      </c>
      <c r="J35" s="95" t="s">
        <v>324</v>
      </c>
      <c r="K35" s="136">
        <v>6.2E-2</v>
      </c>
      <c r="L35" s="137" t="s">
        <v>149</v>
      </c>
      <c r="M35" s="94" t="s">
        <v>36</v>
      </c>
      <c r="N35" s="138">
        <v>6.2E-2</v>
      </c>
      <c r="O35" s="138" t="s">
        <v>8</v>
      </c>
      <c r="P35" s="94" t="s">
        <v>27</v>
      </c>
      <c r="Q35" s="121" t="s">
        <v>388</v>
      </c>
    </row>
    <row r="36" spans="1:17" ht="69" customHeight="1" x14ac:dyDescent="0.35">
      <c r="A36" s="211"/>
      <c r="B36" s="226"/>
      <c r="C36" s="59"/>
      <c r="D36" s="44"/>
      <c r="E36" s="38"/>
      <c r="F36" s="44"/>
      <c r="G36" s="44"/>
      <c r="H36" s="19" t="s">
        <v>323</v>
      </c>
      <c r="I36" s="13" t="s">
        <v>330</v>
      </c>
      <c r="J36" s="19" t="s">
        <v>324</v>
      </c>
      <c r="K36" s="31">
        <v>7.1999999999999995E-2</v>
      </c>
      <c r="L36" s="2" t="s">
        <v>29</v>
      </c>
      <c r="M36" s="44"/>
      <c r="N36" s="57"/>
      <c r="O36" s="57"/>
      <c r="P36" s="44"/>
      <c r="Q36" s="78"/>
    </row>
    <row r="37" spans="1:17" ht="69" customHeight="1" x14ac:dyDescent="0.35">
      <c r="A37" s="211"/>
      <c r="B37" s="226"/>
      <c r="C37" s="59"/>
      <c r="D37" s="44"/>
      <c r="E37" s="38"/>
      <c r="F37" s="44"/>
      <c r="G37" s="44"/>
      <c r="H37" s="19" t="s">
        <v>325</v>
      </c>
      <c r="I37" s="13" t="s">
        <v>330</v>
      </c>
      <c r="J37" s="19" t="s">
        <v>324</v>
      </c>
      <c r="K37" s="31">
        <v>5.8999999999999997E-2</v>
      </c>
      <c r="L37" s="2" t="s">
        <v>326</v>
      </c>
      <c r="M37" s="44"/>
      <c r="N37" s="57"/>
      <c r="O37" s="57"/>
      <c r="P37" s="44"/>
      <c r="Q37" s="78"/>
    </row>
    <row r="38" spans="1:17" ht="69" customHeight="1" x14ac:dyDescent="0.35">
      <c r="A38" s="211"/>
      <c r="B38" s="226"/>
      <c r="C38" s="59"/>
      <c r="D38" s="44"/>
      <c r="E38" s="38"/>
      <c r="F38" s="44"/>
      <c r="G38" s="44"/>
      <c r="H38" s="19" t="s">
        <v>327</v>
      </c>
      <c r="I38" s="13" t="s">
        <v>330</v>
      </c>
      <c r="J38" s="19" t="s">
        <v>324</v>
      </c>
      <c r="K38" s="31">
        <v>9.9000000000000005E-2</v>
      </c>
      <c r="L38" s="2" t="s">
        <v>117</v>
      </c>
      <c r="M38" s="44"/>
      <c r="N38" s="57">
        <v>5.8000000000000003E-2</v>
      </c>
      <c r="O38" s="64" t="s">
        <v>29</v>
      </c>
      <c r="P38" s="44" t="s">
        <v>28</v>
      </c>
      <c r="Q38" s="78"/>
    </row>
    <row r="39" spans="1:17" ht="69" customHeight="1" x14ac:dyDescent="0.35">
      <c r="A39" s="211"/>
      <c r="B39" s="226"/>
      <c r="C39" s="59"/>
      <c r="D39" s="44"/>
      <c r="E39" s="38"/>
      <c r="F39" s="44"/>
      <c r="G39" s="30" t="s">
        <v>329</v>
      </c>
      <c r="H39" s="19" t="s">
        <v>328</v>
      </c>
      <c r="I39" s="13" t="s">
        <v>330</v>
      </c>
      <c r="J39" s="19" t="s">
        <v>324</v>
      </c>
      <c r="K39" s="31">
        <v>5.8000000000000003E-2</v>
      </c>
      <c r="L39" s="2" t="s">
        <v>107</v>
      </c>
      <c r="M39" s="44"/>
      <c r="N39" s="57"/>
      <c r="O39" s="64"/>
      <c r="P39" s="44"/>
      <c r="Q39" s="78"/>
    </row>
    <row r="40" spans="1:17" ht="69" customHeight="1" x14ac:dyDescent="0.35">
      <c r="A40" s="211"/>
      <c r="B40" s="226"/>
      <c r="C40" s="59"/>
      <c r="D40" s="44"/>
      <c r="E40" s="38"/>
      <c r="F40" s="24">
        <v>304.14999999999998</v>
      </c>
      <c r="G40" s="44" t="s">
        <v>43</v>
      </c>
      <c r="H40" s="19" t="s">
        <v>331</v>
      </c>
      <c r="I40" s="13" t="s">
        <v>330</v>
      </c>
      <c r="J40" s="19" t="s">
        <v>324</v>
      </c>
      <c r="K40" s="31">
        <v>6.3E-2</v>
      </c>
      <c r="L40" s="2" t="s">
        <v>119</v>
      </c>
      <c r="M40" s="44"/>
      <c r="N40" s="44"/>
      <c r="O40" s="44"/>
      <c r="P40" s="44"/>
      <c r="Q40" s="78"/>
    </row>
    <row r="41" spans="1:17" ht="69" customHeight="1" thickBot="1" x14ac:dyDescent="0.4">
      <c r="A41" s="212"/>
      <c r="B41" s="227"/>
      <c r="C41" s="214"/>
      <c r="D41" s="104"/>
      <c r="E41" s="83"/>
      <c r="F41" s="87">
        <v>310.14999999999998</v>
      </c>
      <c r="G41" s="104"/>
      <c r="H41" s="139" t="s">
        <v>332</v>
      </c>
      <c r="I41" s="140" t="s">
        <v>330</v>
      </c>
      <c r="J41" s="139" t="s">
        <v>324</v>
      </c>
      <c r="K41" s="141">
        <f>0.096</f>
        <v>9.6000000000000002E-2</v>
      </c>
      <c r="L41" s="142" t="s">
        <v>134</v>
      </c>
      <c r="M41" s="104"/>
      <c r="N41" s="104"/>
      <c r="O41" s="104"/>
      <c r="P41" s="104"/>
      <c r="Q41" s="126"/>
    </row>
    <row r="42" spans="1:17" ht="44.5" customHeight="1" x14ac:dyDescent="0.35">
      <c r="A42" s="218">
        <v>6</v>
      </c>
      <c r="B42" s="225" t="s">
        <v>31</v>
      </c>
      <c r="C42" s="40">
        <v>1</v>
      </c>
      <c r="D42" s="42" t="s">
        <v>288</v>
      </c>
      <c r="E42" s="42" t="s">
        <v>11</v>
      </c>
      <c r="F42" s="42">
        <v>298.14999999999998</v>
      </c>
      <c r="G42" s="42" t="s">
        <v>44</v>
      </c>
      <c r="H42" s="21" t="s">
        <v>290</v>
      </c>
      <c r="I42" s="21" t="s">
        <v>289</v>
      </c>
      <c r="J42" s="42" t="s">
        <v>50</v>
      </c>
      <c r="K42" s="131">
        <v>25.61</v>
      </c>
      <c r="L42" s="132" t="s">
        <v>8</v>
      </c>
      <c r="M42" s="42" t="s">
        <v>35</v>
      </c>
      <c r="N42" s="133">
        <v>81.099999999999994</v>
      </c>
      <c r="O42" s="134" t="s">
        <v>8</v>
      </c>
      <c r="P42" s="42" t="s">
        <v>16</v>
      </c>
      <c r="Q42" s="92" t="s">
        <v>389</v>
      </c>
    </row>
    <row r="43" spans="1:17" ht="44.5" customHeight="1" x14ac:dyDescent="0.35">
      <c r="A43" s="216"/>
      <c r="B43" s="226"/>
      <c r="C43" s="228"/>
      <c r="D43" s="44"/>
      <c r="E43" s="44"/>
      <c r="F43" s="44"/>
      <c r="G43" s="44"/>
      <c r="H43" s="24" t="s">
        <v>291</v>
      </c>
      <c r="I43" s="24" t="s">
        <v>292</v>
      </c>
      <c r="J43" s="44"/>
      <c r="K43" s="60"/>
      <c r="L43" s="61"/>
      <c r="M43" s="44"/>
      <c r="N43" s="62"/>
      <c r="O43" s="63"/>
      <c r="P43" s="44"/>
      <c r="Q43" s="78"/>
    </row>
    <row r="44" spans="1:17" ht="44.5" customHeight="1" x14ac:dyDescent="0.35">
      <c r="A44" s="216"/>
      <c r="B44" s="226"/>
      <c r="C44" s="228"/>
      <c r="D44" s="44"/>
      <c r="E44" s="44"/>
      <c r="F44" s="44"/>
      <c r="G44" s="44"/>
      <c r="H44" s="24" t="s">
        <v>293</v>
      </c>
      <c r="I44" s="24" t="s">
        <v>289</v>
      </c>
      <c r="J44" s="44" t="s">
        <v>50</v>
      </c>
      <c r="K44" s="60">
        <v>22.6</v>
      </c>
      <c r="L44" s="61" t="s">
        <v>8</v>
      </c>
      <c r="M44" s="44"/>
      <c r="N44" s="62"/>
      <c r="O44" s="63"/>
      <c r="P44" s="44"/>
      <c r="Q44" s="78"/>
    </row>
    <row r="45" spans="1:17" ht="44.5" customHeight="1" x14ac:dyDescent="0.35">
      <c r="A45" s="216"/>
      <c r="B45" s="226"/>
      <c r="C45" s="228"/>
      <c r="D45" s="44"/>
      <c r="E45" s="44"/>
      <c r="F45" s="44"/>
      <c r="G45" s="44"/>
      <c r="H45" s="24" t="s">
        <v>291</v>
      </c>
      <c r="I45" s="24" t="s">
        <v>292</v>
      </c>
      <c r="J45" s="44"/>
      <c r="K45" s="60"/>
      <c r="L45" s="61"/>
      <c r="M45" s="44"/>
      <c r="N45" s="62"/>
      <c r="O45" s="63"/>
      <c r="P45" s="44"/>
      <c r="Q45" s="78"/>
    </row>
    <row r="46" spans="1:17" ht="44.5" customHeight="1" x14ac:dyDescent="0.35">
      <c r="A46" s="216"/>
      <c r="B46" s="226"/>
      <c r="C46" s="228"/>
      <c r="D46" s="44"/>
      <c r="E46" s="44"/>
      <c r="F46" s="44"/>
      <c r="G46" s="44"/>
      <c r="H46" s="24" t="s">
        <v>294</v>
      </c>
      <c r="I46" s="24" t="s">
        <v>289</v>
      </c>
      <c r="J46" s="44" t="s">
        <v>50</v>
      </c>
      <c r="K46" s="60">
        <v>17.57</v>
      </c>
      <c r="L46" s="61" t="s">
        <v>8</v>
      </c>
      <c r="M46" s="44"/>
      <c r="N46" s="62"/>
      <c r="O46" s="63"/>
      <c r="P46" s="44"/>
      <c r="Q46" s="78"/>
    </row>
    <row r="47" spans="1:17" ht="44.5" customHeight="1" x14ac:dyDescent="0.35">
      <c r="A47" s="216"/>
      <c r="B47" s="226"/>
      <c r="C47" s="228"/>
      <c r="D47" s="44"/>
      <c r="E47" s="44"/>
      <c r="F47" s="44"/>
      <c r="G47" s="44"/>
      <c r="H47" s="24" t="s">
        <v>291</v>
      </c>
      <c r="I47" s="24" t="s">
        <v>292</v>
      </c>
      <c r="J47" s="44"/>
      <c r="K47" s="60"/>
      <c r="L47" s="61"/>
      <c r="M47" s="44"/>
      <c r="N47" s="62"/>
      <c r="O47" s="63"/>
      <c r="P47" s="44"/>
      <c r="Q47" s="78"/>
    </row>
    <row r="48" spans="1:17" ht="44.5" customHeight="1" x14ac:dyDescent="0.35">
      <c r="A48" s="216"/>
      <c r="B48" s="226"/>
      <c r="C48" s="228"/>
      <c r="D48" s="44"/>
      <c r="E48" s="44"/>
      <c r="F48" s="44"/>
      <c r="G48" s="44"/>
      <c r="H48" s="24" t="s">
        <v>295</v>
      </c>
      <c r="I48" s="24" t="s">
        <v>289</v>
      </c>
      <c r="J48" s="44" t="s">
        <v>50</v>
      </c>
      <c r="K48" s="60">
        <v>15.16</v>
      </c>
      <c r="L48" s="61" t="s">
        <v>8</v>
      </c>
      <c r="M48" s="44"/>
      <c r="N48" s="62"/>
      <c r="O48" s="63"/>
      <c r="P48" s="44"/>
      <c r="Q48" s="78"/>
    </row>
    <row r="49" spans="1:17" ht="44.5" customHeight="1" x14ac:dyDescent="0.35">
      <c r="A49" s="216"/>
      <c r="B49" s="226"/>
      <c r="C49" s="228"/>
      <c r="D49" s="44"/>
      <c r="E49" s="44"/>
      <c r="F49" s="44"/>
      <c r="G49" s="44"/>
      <c r="H49" s="24" t="s">
        <v>291</v>
      </c>
      <c r="I49" s="24" t="s">
        <v>292</v>
      </c>
      <c r="J49" s="44"/>
      <c r="K49" s="60"/>
      <c r="L49" s="61"/>
      <c r="M49" s="44"/>
      <c r="N49" s="62"/>
      <c r="O49" s="63"/>
      <c r="P49" s="44"/>
      <c r="Q49" s="78"/>
    </row>
    <row r="50" spans="1:17" ht="44.5" customHeight="1" x14ac:dyDescent="0.35">
      <c r="A50" s="216"/>
      <c r="B50" s="226"/>
      <c r="C50" s="228"/>
      <c r="D50" s="44"/>
      <c r="E50" s="44"/>
      <c r="F50" s="44"/>
      <c r="G50" s="44"/>
      <c r="H50" s="24" t="s">
        <v>296</v>
      </c>
      <c r="I50" s="24" t="s">
        <v>289</v>
      </c>
      <c r="J50" s="44" t="s">
        <v>50</v>
      </c>
      <c r="K50" s="60">
        <v>14.98</v>
      </c>
      <c r="L50" s="61" t="s">
        <v>8</v>
      </c>
      <c r="M50" s="44"/>
      <c r="N50" s="62"/>
      <c r="O50" s="63"/>
      <c r="P50" s="44"/>
      <c r="Q50" s="78"/>
    </row>
    <row r="51" spans="1:17" ht="44.5" customHeight="1" thickBot="1" x14ac:dyDescent="0.4">
      <c r="A51" s="219"/>
      <c r="B51" s="227"/>
      <c r="C51" s="39"/>
      <c r="D51" s="41"/>
      <c r="E51" s="41"/>
      <c r="F51" s="41"/>
      <c r="G51" s="41"/>
      <c r="H51" s="20" t="s">
        <v>291</v>
      </c>
      <c r="I51" s="20" t="s">
        <v>292</v>
      </c>
      <c r="J51" s="41"/>
      <c r="K51" s="143"/>
      <c r="L51" s="144"/>
      <c r="M51" s="41"/>
      <c r="N51" s="145"/>
      <c r="O51" s="146"/>
      <c r="P51" s="41"/>
      <c r="Q51" s="112"/>
    </row>
    <row r="52" spans="1:17" ht="44.5" customHeight="1" x14ac:dyDescent="0.35">
      <c r="A52" s="210">
        <v>7</v>
      </c>
      <c r="B52" s="225" t="s">
        <v>33</v>
      </c>
      <c r="C52" s="213">
        <v>1</v>
      </c>
      <c r="D52" s="94" t="s">
        <v>297</v>
      </c>
      <c r="E52" s="93" t="s">
        <v>11</v>
      </c>
      <c r="F52" s="93">
        <v>298.14999999999998</v>
      </c>
      <c r="G52" s="94" t="s">
        <v>333</v>
      </c>
      <c r="H52" s="95" t="s">
        <v>334</v>
      </c>
      <c r="I52" s="95" t="s">
        <v>289</v>
      </c>
      <c r="J52" s="95" t="s">
        <v>50</v>
      </c>
      <c r="K52" s="136">
        <v>0.29499999999999998</v>
      </c>
      <c r="L52" s="151" t="s">
        <v>8</v>
      </c>
      <c r="M52" s="94" t="s">
        <v>35</v>
      </c>
      <c r="N52" s="152">
        <v>0.30499999999999999</v>
      </c>
      <c r="O52" s="153" t="s">
        <v>8</v>
      </c>
      <c r="P52" s="94" t="s">
        <v>32</v>
      </c>
      <c r="Q52" s="121" t="s">
        <v>390</v>
      </c>
    </row>
    <row r="53" spans="1:17" ht="44.5" customHeight="1" x14ac:dyDescent="0.35">
      <c r="A53" s="211"/>
      <c r="B53" s="226"/>
      <c r="C53" s="59"/>
      <c r="D53" s="44"/>
      <c r="E53" s="38"/>
      <c r="F53" s="38"/>
      <c r="G53" s="44"/>
      <c r="H53" s="19" t="s">
        <v>335</v>
      </c>
      <c r="I53" s="19" t="s">
        <v>289</v>
      </c>
      <c r="J53" s="19" t="s">
        <v>50</v>
      </c>
      <c r="K53" s="31">
        <v>0.30199999999999999</v>
      </c>
      <c r="L53" s="16" t="s">
        <v>8</v>
      </c>
      <c r="M53" s="44"/>
      <c r="N53" s="53"/>
      <c r="O53" s="58"/>
      <c r="P53" s="44"/>
      <c r="Q53" s="78"/>
    </row>
    <row r="54" spans="1:17" ht="44.5" customHeight="1" x14ac:dyDescent="0.35">
      <c r="A54" s="211"/>
      <c r="B54" s="226"/>
      <c r="C54" s="59"/>
      <c r="D54" s="44"/>
      <c r="E54" s="38"/>
      <c r="F54" s="38"/>
      <c r="G54" s="44"/>
      <c r="H54" s="19" t="s">
        <v>336</v>
      </c>
      <c r="I54" s="19" t="s">
        <v>289</v>
      </c>
      <c r="J54" s="19" t="s">
        <v>50</v>
      </c>
      <c r="K54" s="31">
        <v>0.318</v>
      </c>
      <c r="L54" s="16" t="s">
        <v>8</v>
      </c>
      <c r="M54" s="44"/>
      <c r="N54" s="53"/>
      <c r="O54" s="58"/>
      <c r="P54" s="44"/>
      <c r="Q54" s="78"/>
    </row>
    <row r="55" spans="1:17" ht="44.5" customHeight="1" x14ac:dyDescent="0.35">
      <c r="A55" s="211"/>
      <c r="B55" s="226"/>
      <c r="C55" s="59"/>
      <c r="D55" s="44"/>
      <c r="E55" s="38"/>
      <c r="F55" s="38"/>
      <c r="G55" s="44"/>
      <c r="H55" s="19" t="s">
        <v>337</v>
      </c>
      <c r="I55" s="19" t="s">
        <v>289</v>
      </c>
      <c r="J55" s="19" t="s">
        <v>50</v>
      </c>
      <c r="K55" s="31">
        <v>0.33500000000000002</v>
      </c>
      <c r="L55" s="16" t="s">
        <v>8</v>
      </c>
      <c r="M55" s="44"/>
      <c r="N55" s="53"/>
      <c r="O55" s="58"/>
      <c r="P55" s="44"/>
      <c r="Q55" s="78"/>
    </row>
    <row r="56" spans="1:17" ht="44.5" customHeight="1" x14ac:dyDescent="0.35">
      <c r="A56" s="211"/>
      <c r="B56" s="226"/>
      <c r="C56" s="59"/>
      <c r="D56" s="44"/>
      <c r="E56" s="38"/>
      <c r="F56" s="38"/>
      <c r="G56" s="44"/>
      <c r="H56" s="19" t="s">
        <v>338</v>
      </c>
      <c r="I56" s="19" t="s">
        <v>289</v>
      </c>
      <c r="J56" s="19" t="s">
        <v>50</v>
      </c>
      <c r="K56" s="31">
        <v>0.34599999999999997</v>
      </c>
      <c r="L56" s="16" t="s">
        <v>8</v>
      </c>
      <c r="M56" s="44"/>
      <c r="N56" s="53"/>
      <c r="O56" s="58"/>
      <c r="P56" s="44"/>
      <c r="Q56" s="78"/>
    </row>
    <row r="57" spans="1:17" ht="44.5" customHeight="1" x14ac:dyDescent="0.35">
      <c r="A57" s="211"/>
      <c r="B57" s="226"/>
      <c r="C57" s="59"/>
      <c r="D57" s="44"/>
      <c r="E57" s="38"/>
      <c r="F57" s="38"/>
      <c r="G57" s="44"/>
      <c r="H57" s="19" t="s">
        <v>339</v>
      </c>
      <c r="I57" s="19" t="s">
        <v>289</v>
      </c>
      <c r="J57" s="19" t="s">
        <v>50</v>
      </c>
      <c r="K57" s="31">
        <v>0.378</v>
      </c>
      <c r="L57" s="16" t="s">
        <v>8</v>
      </c>
      <c r="M57" s="44"/>
      <c r="N57" s="53"/>
      <c r="O57" s="58"/>
      <c r="P57" s="44"/>
      <c r="Q57" s="78"/>
    </row>
    <row r="58" spans="1:17" ht="44.5" customHeight="1" x14ac:dyDescent="0.35">
      <c r="A58" s="211"/>
      <c r="B58" s="226"/>
      <c r="C58" s="59"/>
      <c r="D58" s="44"/>
      <c r="E58" s="38"/>
      <c r="F58" s="38">
        <v>303.14999999999998</v>
      </c>
      <c r="G58" s="44"/>
      <c r="H58" s="19" t="s">
        <v>334</v>
      </c>
      <c r="I58" s="19" t="s">
        <v>289</v>
      </c>
      <c r="J58" s="19" t="s">
        <v>50</v>
      </c>
      <c r="K58" s="31">
        <v>0.34300000000000003</v>
      </c>
      <c r="L58" s="16" t="s">
        <v>8</v>
      </c>
      <c r="M58" s="44" t="s">
        <v>35</v>
      </c>
      <c r="N58" s="53">
        <v>0.33700000000000002</v>
      </c>
      <c r="O58" s="43" t="s">
        <v>8</v>
      </c>
      <c r="P58" s="44"/>
      <c r="Q58" s="78"/>
    </row>
    <row r="59" spans="1:17" ht="44.5" customHeight="1" x14ac:dyDescent="0.35">
      <c r="A59" s="211"/>
      <c r="B59" s="226"/>
      <c r="C59" s="59"/>
      <c r="D59" s="44"/>
      <c r="E59" s="38"/>
      <c r="F59" s="38"/>
      <c r="G59" s="44"/>
      <c r="H59" s="19" t="s">
        <v>335</v>
      </c>
      <c r="I59" s="19" t="s">
        <v>289</v>
      </c>
      <c r="J59" s="19" t="s">
        <v>50</v>
      </c>
      <c r="K59" s="31">
        <v>0.32900000000000001</v>
      </c>
      <c r="L59" s="16" t="s">
        <v>8</v>
      </c>
      <c r="M59" s="44"/>
      <c r="N59" s="53"/>
      <c r="O59" s="43"/>
      <c r="P59" s="44"/>
      <c r="Q59" s="78"/>
    </row>
    <row r="60" spans="1:17" ht="44.5" customHeight="1" x14ac:dyDescent="0.35">
      <c r="A60" s="211"/>
      <c r="B60" s="226"/>
      <c r="C60" s="59"/>
      <c r="D60" s="44"/>
      <c r="E60" s="38"/>
      <c r="F60" s="38"/>
      <c r="G60" s="44"/>
      <c r="H60" s="19" t="s">
        <v>336</v>
      </c>
      <c r="I60" s="19" t="s">
        <v>289</v>
      </c>
      <c r="J60" s="19" t="s">
        <v>50</v>
      </c>
      <c r="K60" s="31">
        <v>0.34899999999999998</v>
      </c>
      <c r="L60" s="16" t="s">
        <v>8</v>
      </c>
      <c r="M60" s="44"/>
      <c r="N60" s="53"/>
      <c r="O60" s="43"/>
      <c r="P60" s="44"/>
      <c r="Q60" s="78"/>
    </row>
    <row r="61" spans="1:17" ht="44.5" customHeight="1" x14ac:dyDescent="0.35">
      <c r="A61" s="211"/>
      <c r="B61" s="226"/>
      <c r="C61" s="59"/>
      <c r="D61" s="44"/>
      <c r="E61" s="38"/>
      <c r="F61" s="38"/>
      <c r="G61" s="44"/>
      <c r="H61" s="19" t="s">
        <v>337</v>
      </c>
      <c r="I61" s="19" t="s">
        <v>289</v>
      </c>
      <c r="J61" s="19" t="s">
        <v>50</v>
      </c>
      <c r="K61" s="31">
        <v>0.36699999999999999</v>
      </c>
      <c r="L61" s="16" t="s">
        <v>8</v>
      </c>
      <c r="M61" s="44"/>
      <c r="N61" s="53"/>
      <c r="O61" s="43"/>
      <c r="P61" s="44"/>
      <c r="Q61" s="78"/>
    </row>
    <row r="62" spans="1:17" ht="44.5" customHeight="1" x14ac:dyDescent="0.35">
      <c r="A62" s="211"/>
      <c r="B62" s="226"/>
      <c r="C62" s="59"/>
      <c r="D62" s="44"/>
      <c r="E62" s="38"/>
      <c r="F62" s="38"/>
      <c r="G62" s="44"/>
      <c r="H62" s="19" t="s">
        <v>338</v>
      </c>
      <c r="I62" s="19" t="s">
        <v>289</v>
      </c>
      <c r="J62" s="19" t="s">
        <v>50</v>
      </c>
      <c r="K62" s="31">
        <v>0.38900000000000001</v>
      </c>
      <c r="L62" s="16" t="s">
        <v>8</v>
      </c>
      <c r="M62" s="44"/>
      <c r="N62" s="53"/>
      <c r="O62" s="43"/>
      <c r="P62" s="44"/>
      <c r="Q62" s="78"/>
    </row>
    <row r="63" spans="1:17" ht="44.5" customHeight="1" x14ac:dyDescent="0.35">
      <c r="A63" s="211"/>
      <c r="B63" s="226"/>
      <c r="C63" s="59"/>
      <c r="D63" s="44"/>
      <c r="E63" s="38"/>
      <c r="F63" s="38"/>
      <c r="G63" s="44"/>
      <c r="H63" s="19" t="s">
        <v>339</v>
      </c>
      <c r="I63" s="19" t="s">
        <v>289</v>
      </c>
      <c r="J63" s="19" t="s">
        <v>50</v>
      </c>
      <c r="K63" s="31">
        <v>0.437</v>
      </c>
      <c r="L63" s="16" t="s">
        <v>8</v>
      </c>
      <c r="M63" s="44"/>
      <c r="N63" s="53"/>
      <c r="O63" s="43"/>
      <c r="P63" s="44"/>
      <c r="Q63" s="78"/>
    </row>
    <row r="64" spans="1:17" ht="44.5" customHeight="1" x14ac:dyDescent="0.35">
      <c r="A64" s="211"/>
      <c r="B64" s="226"/>
      <c r="C64" s="59"/>
      <c r="D64" s="44"/>
      <c r="E64" s="38"/>
      <c r="F64" s="38">
        <f>273.15+37</f>
        <v>310.14999999999998</v>
      </c>
      <c r="G64" s="44"/>
      <c r="H64" s="19" t="s">
        <v>334</v>
      </c>
      <c r="I64" s="19" t="s">
        <v>289</v>
      </c>
      <c r="J64" s="19" t="s">
        <v>50</v>
      </c>
      <c r="K64" s="31">
        <v>0.38</v>
      </c>
      <c r="L64" s="16" t="s">
        <v>8</v>
      </c>
      <c r="M64" s="44" t="s">
        <v>35</v>
      </c>
      <c r="N64" s="53">
        <v>0.372</v>
      </c>
      <c r="O64" s="43" t="s">
        <v>8</v>
      </c>
      <c r="P64" s="44"/>
      <c r="Q64" s="78"/>
    </row>
    <row r="65" spans="1:17" ht="44.5" customHeight="1" x14ac:dyDescent="0.35">
      <c r="A65" s="211"/>
      <c r="B65" s="226"/>
      <c r="C65" s="59"/>
      <c r="D65" s="44"/>
      <c r="E65" s="38"/>
      <c r="F65" s="38"/>
      <c r="G65" s="44"/>
      <c r="H65" s="19" t="s">
        <v>335</v>
      </c>
      <c r="I65" s="19" t="s">
        <v>289</v>
      </c>
      <c r="J65" s="19" t="s">
        <v>50</v>
      </c>
      <c r="K65" s="31">
        <v>0.38200000000000001</v>
      </c>
      <c r="L65" s="16" t="s">
        <v>8</v>
      </c>
      <c r="M65" s="44"/>
      <c r="N65" s="53"/>
      <c r="O65" s="43"/>
      <c r="P65" s="44"/>
      <c r="Q65" s="78"/>
    </row>
    <row r="66" spans="1:17" ht="44.5" customHeight="1" x14ac:dyDescent="0.35">
      <c r="A66" s="211"/>
      <c r="B66" s="226"/>
      <c r="C66" s="59"/>
      <c r="D66" s="44"/>
      <c r="E66" s="38"/>
      <c r="F66" s="38"/>
      <c r="G66" s="44"/>
      <c r="H66" s="19" t="s">
        <v>336</v>
      </c>
      <c r="I66" s="19" t="s">
        <v>289</v>
      </c>
      <c r="J66" s="19" t="s">
        <v>50</v>
      </c>
      <c r="K66" s="31">
        <v>0.38300000000000001</v>
      </c>
      <c r="L66" s="16" t="s">
        <v>8</v>
      </c>
      <c r="M66" s="44"/>
      <c r="N66" s="53"/>
      <c r="O66" s="43"/>
      <c r="P66" s="44"/>
      <c r="Q66" s="78"/>
    </row>
    <row r="67" spans="1:17" ht="44.5" customHeight="1" x14ac:dyDescent="0.35">
      <c r="A67" s="211"/>
      <c r="B67" s="226"/>
      <c r="C67" s="59"/>
      <c r="D67" s="44"/>
      <c r="E67" s="38"/>
      <c r="F67" s="38"/>
      <c r="G67" s="44"/>
      <c r="H67" s="19" t="s">
        <v>337</v>
      </c>
      <c r="I67" s="19" t="s">
        <v>289</v>
      </c>
      <c r="J67" s="19" t="s">
        <v>50</v>
      </c>
      <c r="K67" s="31">
        <v>0.39600000000000002</v>
      </c>
      <c r="L67" s="16" t="s">
        <v>8</v>
      </c>
      <c r="M67" s="44"/>
      <c r="N67" s="53"/>
      <c r="O67" s="43"/>
      <c r="P67" s="44"/>
      <c r="Q67" s="78"/>
    </row>
    <row r="68" spans="1:17" ht="44.5" customHeight="1" x14ac:dyDescent="0.35">
      <c r="A68" s="211"/>
      <c r="B68" s="226"/>
      <c r="C68" s="59"/>
      <c r="D68" s="44"/>
      <c r="E68" s="38"/>
      <c r="F68" s="38"/>
      <c r="G68" s="44"/>
      <c r="H68" s="19" t="s">
        <v>338</v>
      </c>
      <c r="I68" s="19" t="s">
        <v>289</v>
      </c>
      <c r="J68" s="19" t="s">
        <v>50</v>
      </c>
      <c r="K68" s="31">
        <v>0.42599999999999999</v>
      </c>
      <c r="L68" s="16" t="s">
        <v>8</v>
      </c>
      <c r="M68" s="44"/>
      <c r="N68" s="53"/>
      <c r="O68" s="43"/>
      <c r="P68" s="44"/>
      <c r="Q68" s="78"/>
    </row>
    <row r="69" spans="1:17" ht="44.5" customHeight="1" thickBot="1" x14ac:dyDescent="0.4">
      <c r="A69" s="212"/>
      <c r="B69" s="227"/>
      <c r="C69" s="214"/>
      <c r="D69" s="104"/>
      <c r="E69" s="83"/>
      <c r="F69" s="83"/>
      <c r="G69" s="104"/>
      <c r="H69" s="139" t="s">
        <v>339</v>
      </c>
      <c r="I69" s="139" t="s">
        <v>289</v>
      </c>
      <c r="J69" s="139" t="s">
        <v>50</v>
      </c>
      <c r="K69" s="141">
        <v>0.49399999999999999</v>
      </c>
      <c r="L69" s="154" t="s">
        <v>8</v>
      </c>
      <c r="M69" s="104"/>
      <c r="N69" s="155"/>
      <c r="O69" s="156"/>
      <c r="P69" s="104"/>
      <c r="Q69" s="126"/>
    </row>
    <row r="70" spans="1:17" s="1" customFormat="1" ht="48.5" customHeight="1" x14ac:dyDescent="0.35">
      <c r="A70" s="218">
        <v>8</v>
      </c>
      <c r="B70" s="225" t="s">
        <v>39</v>
      </c>
      <c r="C70" s="40">
        <v>1</v>
      </c>
      <c r="D70" s="42" t="s">
        <v>101</v>
      </c>
      <c r="E70" s="42" t="s">
        <v>11</v>
      </c>
      <c r="F70" s="42">
        <v>298.14999999999998</v>
      </c>
      <c r="G70" s="42" t="s">
        <v>45</v>
      </c>
      <c r="H70" s="21" t="s">
        <v>298</v>
      </c>
      <c r="I70" s="21" t="s">
        <v>302</v>
      </c>
      <c r="J70" s="21" t="s">
        <v>299</v>
      </c>
      <c r="K70" s="147">
        <v>7.4923999999999999</v>
      </c>
      <c r="L70" s="148" t="s">
        <v>300</v>
      </c>
      <c r="M70" s="21" t="s">
        <v>38</v>
      </c>
      <c r="N70" s="149">
        <v>7.3952</v>
      </c>
      <c r="O70" s="150" t="s">
        <v>300</v>
      </c>
      <c r="P70" s="56" t="s">
        <v>37</v>
      </c>
      <c r="Q70" s="92" t="s">
        <v>391</v>
      </c>
    </row>
    <row r="71" spans="1:17" s="1" customFormat="1" ht="48.5" customHeight="1" x14ac:dyDescent="0.35">
      <c r="A71" s="216"/>
      <c r="B71" s="226"/>
      <c r="C71" s="228"/>
      <c r="D71" s="44"/>
      <c r="E71" s="44"/>
      <c r="F71" s="44"/>
      <c r="G71" s="44"/>
      <c r="H71" s="24" t="s">
        <v>301</v>
      </c>
      <c r="I71" s="24" t="s">
        <v>302</v>
      </c>
      <c r="J71" s="24" t="s">
        <v>299</v>
      </c>
      <c r="K71" s="29">
        <v>7.5652999999999997</v>
      </c>
      <c r="L71" s="10" t="s">
        <v>300</v>
      </c>
      <c r="M71" s="24" t="s">
        <v>38</v>
      </c>
      <c r="N71" s="31">
        <v>7.3358999999999996</v>
      </c>
      <c r="O71" s="2" t="s">
        <v>300</v>
      </c>
      <c r="P71" s="47"/>
      <c r="Q71" s="78"/>
    </row>
    <row r="72" spans="1:17" s="1" customFormat="1" ht="48.5" customHeight="1" x14ac:dyDescent="0.35">
      <c r="A72" s="216"/>
      <c r="B72" s="226"/>
      <c r="C72" s="228"/>
      <c r="D72" s="44"/>
      <c r="E72" s="44"/>
      <c r="F72" s="44"/>
      <c r="G72" s="44"/>
      <c r="H72" s="24" t="s">
        <v>303</v>
      </c>
      <c r="I72" s="24" t="s">
        <v>302</v>
      </c>
      <c r="J72" s="24" t="s">
        <v>299</v>
      </c>
      <c r="K72" s="29">
        <v>7.3055000000000003</v>
      </c>
      <c r="L72" s="10" t="s">
        <v>304</v>
      </c>
      <c r="M72" s="24" t="s">
        <v>38</v>
      </c>
      <c r="N72" s="31">
        <v>6.9512999999999998</v>
      </c>
      <c r="O72" s="2" t="s">
        <v>304</v>
      </c>
      <c r="P72" s="47"/>
      <c r="Q72" s="78"/>
    </row>
    <row r="73" spans="1:17" s="1" customFormat="1" ht="48.5" customHeight="1" thickBot="1" x14ac:dyDescent="0.4">
      <c r="A73" s="219"/>
      <c r="B73" s="227"/>
      <c r="C73" s="39"/>
      <c r="D73" s="41"/>
      <c r="E73" s="41"/>
      <c r="F73" s="41"/>
      <c r="G73" s="41"/>
      <c r="H73" s="20" t="s">
        <v>305</v>
      </c>
      <c r="I73" s="20" t="s">
        <v>302</v>
      </c>
      <c r="J73" s="20" t="s">
        <v>299</v>
      </c>
      <c r="K73" s="157">
        <v>7.4924999999999997</v>
      </c>
      <c r="L73" s="158" t="s">
        <v>304</v>
      </c>
      <c r="M73" s="20" t="s">
        <v>38</v>
      </c>
      <c r="N73" s="159">
        <v>7.0834000000000001</v>
      </c>
      <c r="O73" s="160" t="s">
        <v>304</v>
      </c>
      <c r="P73" s="55"/>
      <c r="Q73" s="112"/>
    </row>
    <row r="74" spans="1:17" ht="48" customHeight="1" x14ac:dyDescent="0.35">
      <c r="A74" s="210">
        <v>9</v>
      </c>
      <c r="B74" s="225" t="s">
        <v>46</v>
      </c>
      <c r="C74" s="229">
        <v>1</v>
      </c>
      <c r="D74" s="117" t="s">
        <v>100</v>
      </c>
      <c r="E74" s="93" t="s">
        <v>11</v>
      </c>
      <c r="F74" s="93">
        <v>298.14999999999998</v>
      </c>
      <c r="G74" s="162" t="s">
        <v>45</v>
      </c>
      <c r="H74" s="162" t="s">
        <v>51</v>
      </c>
      <c r="I74" s="162" t="s">
        <v>52</v>
      </c>
      <c r="J74" s="162" t="s">
        <v>50</v>
      </c>
      <c r="K74" s="119">
        <f>(2.76+6.14)/2</f>
        <v>4.4499999999999993</v>
      </c>
      <c r="L74" s="120"/>
      <c r="M74" s="93" t="s">
        <v>41</v>
      </c>
      <c r="N74" s="152">
        <v>269</v>
      </c>
      <c r="O74" s="163" t="s">
        <v>42</v>
      </c>
      <c r="P74" s="94" t="s">
        <v>47</v>
      </c>
      <c r="Q74" s="121" t="s">
        <v>392</v>
      </c>
    </row>
    <row r="75" spans="1:17" ht="48" customHeight="1" x14ac:dyDescent="0.35">
      <c r="A75" s="211"/>
      <c r="B75" s="226"/>
      <c r="C75" s="228"/>
      <c r="D75" s="47"/>
      <c r="E75" s="38"/>
      <c r="F75" s="38"/>
      <c r="G75" s="24" t="s">
        <v>53</v>
      </c>
      <c r="H75" s="24" t="s">
        <v>54</v>
      </c>
      <c r="I75" s="24" t="s">
        <v>52</v>
      </c>
      <c r="J75" s="24" t="s">
        <v>50</v>
      </c>
      <c r="K75" s="29">
        <v>9.07</v>
      </c>
      <c r="L75" s="30" t="s">
        <v>8</v>
      </c>
      <c r="M75" s="38"/>
      <c r="N75" s="53"/>
      <c r="O75" s="54"/>
      <c r="P75" s="44"/>
      <c r="Q75" s="78"/>
    </row>
    <row r="76" spans="1:17" ht="48" customHeight="1" x14ac:dyDescent="0.35">
      <c r="A76" s="211"/>
      <c r="B76" s="226"/>
      <c r="C76" s="228"/>
      <c r="D76" s="47"/>
      <c r="E76" s="38"/>
      <c r="F76" s="38"/>
      <c r="G76" s="24" t="s">
        <v>55</v>
      </c>
      <c r="H76" s="24" t="s">
        <v>54</v>
      </c>
      <c r="I76" s="24" t="s">
        <v>52</v>
      </c>
      <c r="J76" s="24" t="s">
        <v>50</v>
      </c>
      <c r="K76" s="29">
        <v>6.77</v>
      </c>
      <c r="L76" s="30" t="s">
        <v>8</v>
      </c>
      <c r="M76" s="38"/>
      <c r="N76" s="53"/>
      <c r="O76" s="54"/>
      <c r="P76" s="44"/>
      <c r="Q76" s="78"/>
    </row>
    <row r="77" spans="1:17" ht="48" customHeight="1" x14ac:dyDescent="0.35">
      <c r="A77" s="211"/>
      <c r="B77" s="226"/>
      <c r="C77" s="228"/>
      <c r="D77" s="47"/>
      <c r="E77" s="38"/>
      <c r="F77" s="38"/>
      <c r="G77" s="24" t="s">
        <v>56</v>
      </c>
      <c r="H77" s="24" t="s">
        <v>58</v>
      </c>
      <c r="I77" s="24" t="s">
        <v>52</v>
      </c>
      <c r="J77" s="24" t="s">
        <v>50</v>
      </c>
      <c r="K77" s="29">
        <v>5.59</v>
      </c>
      <c r="L77" s="30" t="s">
        <v>8</v>
      </c>
      <c r="M77" s="38"/>
      <c r="N77" s="53"/>
      <c r="O77" s="54"/>
      <c r="P77" s="44"/>
      <c r="Q77" s="78"/>
    </row>
    <row r="78" spans="1:17" ht="48" customHeight="1" thickBot="1" x14ac:dyDescent="0.4">
      <c r="A78" s="212"/>
      <c r="B78" s="227"/>
      <c r="C78" s="230"/>
      <c r="D78" s="103"/>
      <c r="E78" s="83"/>
      <c r="F78" s="83"/>
      <c r="G78" s="87" t="s">
        <v>57</v>
      </c>
      <c r="H78" s="87" t="s">
        <v>58</v>
      </c>
      <c r="I78" s="87" t="s">
        <v>52</v>
      </c>
      <c r="J78" s="87" t="s">
        <v>50</v>
      </c>
      <c r="K78" s="123">
        <v>3.97</v>
      </c>
      <c r="L78" s="124" t="s">
        <v>8</v>
      </c>
      <c r="M78" s="83"/>
      <c r="N78" s="155"/>
      <c r="O78" s="164"/>
      <c r="P78" s="104"/>
      <c r="Q78" s="126"/>
    </row>
    <row r="79" spans="1:17" s="17" customFormat="1" ht="77.5" customHeight="1" x14ac:dyDescent="0.35">
      <c r="A79" s="231">
        <v>10</v>
      </c>
      <c r="B79" s="225" t="s">
        <v>77</v>
      </c>
      <c r="C79" s="234">
        <v>1</v>
      </c>
      <c r="D79" s="167" t="s">
        <v>99</v>
      </c>
      <c r="E79" s="138" t="s">
        <v>11</v>
      </c>
      <c r="F79" s="138">
        <f>273.15 + 37</f>
        <v>310.14999999999998</v>
      </c>
      <c r="G79" s="167" t="s">
        <v>45</v>
      </c>
      <c r="H79" s="151" t="s">
        <v>340</v>
      </c>
      <c r="I79" s="95" t="s">
        <v>292</v>
      </c>
      <c r="J79" s="95" t="s">
        <v>50</v>
      </c>
      <c r="K79" s="136">
        <v>0.80200000000000005</v>
      </c>
      <c r="L79" s="137" t="s">
        <v>341</v>
      </c>
      <c r="M79" s="138" t="s">
        <v>48</v>
      </c>
      <c r="N79" s="152">
        <v>0.748</v>
      </c>
      <c r="O79" s="153" t="s">
        <v>8</v>
      </c>
      <c r="P79" s="167" t="s">
        <v>32</v>
      </c>
      <c r="Q79" s="102" t="s">
        <v>393</v>
      </c>
    </row>
    <row r="80" spans="1:17" s="17" customFormat="1" ht="77.5" customHeight="1" x14ac:dyDescent="0.35">
      <c r="A80" s="232"/>
      <c r="B80" s="226"/>
      <c r="C80" s="235"/>
      <c r="D80" s="49"/>
      <c r="E80" s="57"/>
      <c r="F80" s="57"/>
      <c r="G80" s="49"/>
      <c r="H80" s="16" t="s">
        <v>342</v>
      </c>
      <c r="I80" s="19" t="s">
        <v>292</v>
      </c>
      <c r="J80" s="19" t="s">
        <v>50</v>
      </c>
      <c r="K80" s="31">
        <v>0.79600000000000004</v>
      </c>
      <c r="L80" s="2" t="s">
        <v>144</v>
      </c>
      <c r="M80" s="57"/>
      <c r="N80" s="53"/>
      <c r="O80" s="58"/>
      <c r="P80" s="49"/>
      <c r="Q80" s="77"/>
    </row>
    <row r="81" spans="1:17" s="17" customFormat="1" ht="77.5" customHeight="1" x14ac:dyDescent="0.35">
      <c r="A81" s="232"/>
      <c r="B81" s="226"/>
      <c r="C81" s="235"/>
      <c r="D81" s="49"/>
      <c r="E81" s="57"/>
      <c r="F81" s="57"/>
      <c r="G81" s="49"/>
      <c r="H81" s="16" t="s">
        <v>343</v>
      </c>
      <c r="I81" s="19" t="s">
        <v>292</v>
      </c>
      <c r="J81" s="19" t="s">
        <v>50</v>
      </c>
      <c r="K81" s="31">
        <v>0.77500000000000002</v>
      </c>
      <c r="L81" s="2" t="s">
        <v>117</v>
      </c>
      <c r="M81" s="57"/>
      <c r="N81" s="53"/>
      <c r="O81" s="58"/>
      <c r="P81" s="49"/>
      <c r="Q81" s="77"/>
    </row>
    <row r="82" spans="1:17" s="17" customFormat="1" ht="77.5" customHeight="1" x14ac:dyDescent="0.35">
      <c r="A82" s="232"/>
      <c r="B82" s="226"/>
      <c r="C82" s="235"/>
      <c r="D82" s="49"/>
      <c r="E82" s="57"/>
      <c r="F82" s="57"/>
      <c r="G82" s="49"/>
      <c r="H82" s="16" t="s">
        <v>344</v>
      </c>
      <c r="I82" s="19" t="s">
        <v>292</v>
      </c>
      <c r="J82" s="19" t="s">
        <v>50</v>
      </c>
      <c r="K82" s="31">
        <v>0.76200000000000001</v>
      </c>
      <c r="L82" s="2" t="s">
        <v>107</v>
      </c>
      <c r="M82" s="57"/>
      <c r="N82" s="53"/>
      <c r="O82" s="58"/>
      <c r="P82" s="49"/>
      <c r="Q82" s="77"/>
    </row>
    <row r="83" spans="1:17" s="17" customFormat="1" ht="77.5" customHeight="1" x14ac:dyDescent="0.35">
      <c r="A83" s="232"/>
      <c r="B83" s="226"/>
      <c r="C83" s="235"/>
      <c r="D83" s="49"/>
      <c r="E83" s="57"/>
      <c r="F83" s="57"/>
      <c r="G83" s="49"/>
      <c r="H83" s="16" t="s">
        <v>345</v>
      </c>
      <c r="I83" s="19" t="s">
        <v>292</v>
      </c>
      <c r="J83" s="19" t="s">
        <v>50</v>
      </c>
      <c r="K83" s="31">
        <v>0.74</v>
      </c>
      <c r="L83" s="2" t="s">
        <v>131</v>
      </c>
      <c r="M83" s="57"/>
      <c r="N83" s="53"/>
      <c r="O83" s="58"/>
      <c r="P83" s="49"/>
      <c r="Q83" s="77"/>
    </row>
    <row r="84" spans="1:17" s="17" customFormat="1" ht="77.5" customHeight="1" x14ac:dyDescent="0.35">
      <c r="A84" s="232"/>
      <c r="B84" s="226"/>
      <c r="C84" s="235"/>
      <c r="D84" s="49"/>
      <c r="E84" s="57"/>
      <c r="F84" s="57"/>
      <c r="G84" s="49"/>
      <c r="H84" s="16" t="s">
        <v>346</v>
      </c>
      <c r="I84" s="19" t="s">
        <v>292</v>
      </c>
      <c r="J84" s="19" t="s">
        <v>50</v>
      </c>
      <c r="K84" s="31">
        <v>0.753</v>
      </c>
      <c r="L84" s="2" t="s">
        <v>347</v>
      </c>
      <c r="M84" s="57"/>
      <c r="N84" s="53"/>
      <c r="O84" s="58"/>
      <c r="P84" s="49"/>
      <c r="Q84" s="77"/>
    </row>
    <row r="85" spans="1:17" s="17" customFormat="1" ht="77.5" customHeight="1" x14ac:dyDescent="0.35">
      <c r="A85" s="232"/>
      <c r="B85" s="226"/>
      <c r="C85" s="235"/>
      <c r="D85" s="49"/>
      <c r="E85" s="57"/>
      <c r="F85" s="57"/>
      <c r="G85" s="49"/>
      <c r="H85" s="16" t="s">
        <v>348</v>
      </c>
      <c r="I85" s="19" t="s">
        <v>292</v>
      </c>
      <c r="J85" s="19" t="s">
        <v>50</v>
      </c>
      <c r="K85" s="31">
        <v>0.753</v>
      </c>
      <c r="L85" s="2" t="s">
        <v>349</v>
      </c>
      <c r="M85" s="57"/>
      <c r="N85" s="53"/>
      <c r="O85" s="58"/>
      <c r="P85" s="49"/>
      <c r="Q85" s="77"/>
    </row>
    <row r="86" spans="1:17" s="17" customFormat="1" ht="77.5" customHeight="1" x14ac:dyDescent="0.35">
      <c r="A86" s="232"/>
      <c r="B86" s="226"/>
      <c r="C86" s="235"/>
      <c r="D86" s="49"/>
      <c r="E86" s="57"/>
      <c r="F86" s="57"/>
      <c r="G86" s="49"/>
      <c r="H86" s="16" t="s">
        <v>350</v>
      </c>
      <c r="I86" s="19" t="s">
        <v>292</v>
      </c>
      <c r="J86" s="19" t="s">
        <v>50</v>
      </c>
      <c r="K86" s="31">
        <v>0.83</v>
      </c>
      <c r="L86" s="2" t="s">
        <v>125</v>
      </c>
      <c r="M86" s="57"/>
      <c r="N86" s="53"/>
      <c r="O86" s="58"/>
      <c r="P86" s="49"/>
      <c r="Q86" s="77"/>
    </row>
    <row r="87" spans="1:17" s="17" customFormat="1" ht="77.5" customHeight="1" x14ac:dyDescent="0.35">
      <c r="A87" s="232"/>
      <c r="B87" s="226"/>
      <c r="C87" s="235"/>
      <c r="D87" s="49"/>
      <c r="E87" s="57"/>
      <c r="F87" s="57"/>
      <c r="G87" s="49"/>
      <c r="H87" s="16" t="s">
        <v>351</v>
      </c>
      <c r="I87" s="19" t="s">
        <v>292</v>
      </c>
      <c r="J87" s="19" t="s">
        <v>50</v>
      </c>
      <c r="K87" s="31">
        <v>0.63500000000000001</v>
      </c>
      <c r="L87" s="2" t="s">
        <v>352</v>
      </c>
      <c r="M87" s="57"/>
      <c r="N87" s="53"/>
      <c r="O87" s="58"/>
      <c r="P87" s="49"/>
      <c r="Q87" s="77"/>
    </row>
    <row r="88" spans="1:17" s="17" customFormat="1" ht="77.5" customHeight="1" x14ac:dyDescent="0.35">
      <c r="A88" s="232"/>
      <c r="B88" s="226"/>
      <c r="C88" s="235"/>
      <c r="D88" s="49"/>
      <c r="E88" s="57"/>
      <c r="F88" s="57">
        <v>303.14999999999998</v>
      </c>
      <c r="G88" s="49"/>
      <c r="H88" s="16" t="s">
        <v>353</v>
      </c>
      <c r="I88" s="19" t="s">
        <v>292</v>
      </c>
      <c r="J88" s="19" t="s">
        <v>50</v>
      </c>
      <c r="K88" s="33">
        <v>0.69899999999999995</v>
      </c>
      <c r="L88" s="2" t="s">
        <v>155</v>
      </c>
      <c r="M88" s="18" t="s">
        <v>48</v>
      </c>
      <c r="N88" s="53">
        <v>0.66800000000000004</v>
      </c>
      <c r="O88" s="58" t="s">
        <v>8</v>
      </c>
      <c r="P88" s="49"/>
      <c r="Q88" s="77"/>
    </row>
    <row r="89" spans="1:17" s="17" customFormat="1" ht="77.5" customHeight="1" x14ac:dyDescent="0.35">
      <c r="A89" s="232"/>
      <c r="B89" s="226"/>
      <c r="C89" s="235"/>
      <c r="D89" s="49"/>
      <c r="E89" s="57"/>
      <c r="F89" s="57"/>
      <c r="G89" s="49"/>
      <c r="H89" s="16" t="s">
        <v>354</v>
      </c>
      <c r="I89" s="19" t="s">
        <v>292</v>
      </c>
      <c r="J89" s="19" t="s">
        <v>50</v>
      </c>
      <c r="K89" s="33">
        <v>0.65700000000000003</v>
      </c>
      <c r="L89" s="2" t="s">
        <v>66</v>
      </c>
      <c r="M89" s="18"/>
      <c r="N89" s="53"/>
      <c r="O89" s="58"/>
      <c r="P89" s="49"/>
      <c r="Q89" s="77"/>
    </row>
    <row r="90" spans="1:17" s="17" customFormat="1" ht="77.5" customHeight="1" x14ac:dyDescent="0.35">
      <c r="A90" s="232"/>
      <c r="B90" s="226"/>
      <c r="C90" s="235"/>
      <c r="D90" s="49"/>
      <c r="E90" s="57"/>
      <c r="F90" s="57"/>
      <c r="G90" s="49"/>
      <c r="H90" s="16" t="s">
        <v>355</v>
      </c>
      <c r="I90" s="19" t="s">
        <v>292</v>
      </c>
      <c r="J90" s="19" t="s">
        <v>50</v>
      </c>
      <c r="K90" s="33">
        <v>0.69799999999999995</v>
      </c>
      <c r="L90" s="2" t="s">
        <v>356</v>
      </c>
      <c r="M90" s="18"/>
      <c r="N90" s="53"/>
      <c r="O90" s="58"/>
      <c r="P90" s="49"/>
      <c r="Q90" s="77"/>
    </row>
    <row r="91" spans="1:17" s="17" customFormat="1" ht="77.5" customHeight="1" x14ac:dyDescent="0.35">
      <c r="A91" s="232"/>
      <c r="B91" s="226"/>
      <c r="C91" s="235"/>
      <c r="D91" s="49"/>
      <c r="E91" s="57"/>
      <c r="F91" s="57"/>
      <c r="G91" s="49"/>
      <c r="H91" s="16" t="s">
        <v>357</v>
      </c>
      <c r="I91" s="19" t="s">
        <v>292</v>
      </c>
      <c r="J91" s="19" t="s">
        <v>50</v>
      </c>
      <c r="K91" s="33">
        <v>0.69899999999999995</v>
      </c>
      <c r="L91" s="2" t="s">
        <v>358</v>
      </c>
      <c r="M91" s="18"/>
      <c r="N91" s="53"/>
      <c r="O91" s="58"/>
      <c r="P91" s="49"/>
      <c r="Q91" s="77"/>
    </row>
    <row r="92" spans="1:17" s="17" customFormat="1" ht="77.5" customHeight="1" x14ac:dyDescent="0.35">
      <c r="A92" s="232"/>
      <c r="B92" s="226"/>
      <c r="C92" s="235"/>
      <c r="D92" s="49"/>
      <c r="E92" s="57"/>
      <c r="F92" s="57"/>
      <c r="G92" s="16" t="s">
        <v>359</v>
      </c>
      <c r="H92" s="16" t="s">
        <v>360</v>
      </c>
      <c r="I92" s="19" t="s">
        <v>292</v>
      </c>
      <c r="J92" s="19" t="s">
        <v>50</v>
      </c>
      <c r="K92" s="33">
        <v>0.85599999999999998</v>
      </c>
      <c r="L92" s="2" t="s">
        <v>175</v>
      </c>
      <c r="M92" s="18"/>
      <c r="N92" s="57"/>
      <c r="O92" s="57"/>
      <c r="P92" s="49"/>
      <c r="Q92" s="77"/>
    </row>
    <row r="93" spans="1:17" s="17" customFormat="1" ht="77.5" customHeight="1" x14ac:dyDescent="0.35">
      <c r="A93" s="232"/>
      <c r="B93" s="226"/>
      <c r="C93" s="235"/>
      <c r="D93" s="49"/>
      <c r="E93" s="57"/>
      <c r="F93" s="57"/>
      <c r="G93" s="16" t="s">
        <v>359</v>
      </c>
      <c r="H93" s="16" t="s">
        <v>361</v>
      </c>
      <c r="I93" s="19" t="s">
        <v>292</v>
      </c>
      <c r="J93" s="19" t="s">
        <v>50</v>
      </c>
      <c r="K93" s="33">
        <v>0.90300000000000002</v>
      </c>
      <c r="L93" s="2" t="s">
        <v>60</v>
      </c>
      <c r="M93" s="18"/>
      <c r="N93" s="57"/>
      <c r="O93" s="57"/>
      <c r="P93" s="49"/>
      <c r="Q93" s="77"/>
    </row>
    <row r="94" spans="1:17" s="17" customFormat="1" ht="77.5" customHeight="1" x14ac:dyDescent="0.35">
      <c r="A94" s="232"/>
      <c r="B94" s="226"/>
      <c r="C94" s="235"/>
      <c r="D94" s="49"/>
      <c r="E94" s="57"/>
      <c r="F94" s="57"/>
      <c r="G94" s="16" t="s">
        <v>359</v>
      </c>
      <c r="H94" s="16" t="s">
        <v>362</v>
      </c>
      <c r="I94" s="19" t="s">
        <v>292</v>
      </c>
      <c r="J94" s="19" t="s">
        <v>50</v>
      </c>
      <c r="K94" s="33">
        <v>0.92100000000000004</v>
      </c>
      <c r="L94" s="2" t="s">
        <v>356</v>
      </c>
      <c r="M94" s="18"/>
      <c r="N94" s="57"/>
      <c r="O94" s="57"/>
      <c r="P94" s="49"/>
      <c r="Q94" s="77"/>
    </row>
    <row r="95" spans="1:17" s="17" customFormat="1" ht="77.5" customHeight="1" x14ac:dyDescent="0.35">
      <c r="A95" s="232"/>
      <c r="B95" s="226"/>
      <c r="C95" s="235"/>
      <c r="D95" s="49"/>
      <c r="E95" s="57"/>
      <c r="F95" s="57"/>
      <c r="G95" s="16" t="s">
        <v>359</v>
      </c>
      <c r="H95" s="16" t="s">
        <v>363</v>
      </c>
      <c r="I95" s="19" t="s">
        <v>292</v>
      </c>
      <c r="J95" s="19" t="s">
        <v>50</v>
      </c>
      <c r="K95" s="33">
        <v>0.628</v>
      </c>
      <c r="L95" s="2" t="s">
        <v>364</v>
      </c>
      <c r="M95" s="18"/>
      <c r="N95" s="57"/>
      <c r="O95" s="57"/>
      <c r="P95" s="49"/>
      <c r="Q95" s="77"/>
    </row>
    <row r="96" spans="1:17" s="17" customFormat="1" ht="77.5" customHeight="1" thickBot="1" x14ac:dyDescent="0.4">
      <c r="A96" s="233"/>
      <c r="B96" s="227"/>
      <c r="C96" s="236"/>
      <c r="D96" s="169"/>
      <c r="E96" s="168"/>
      <c r="F96" s="125">
        <v>298.14999999999998</v>
      </c>
      <c r="G96" s="154" t="s">
        <v>45</v>
      </c>
      <c r="H96" s="154" t="s">
        <v>365</v>
      </c>
      <c r="I96" s="139" t="s">
        <v>292</v>
      </c>
      <c r="J96" s="139" t="s">
        <v>50</v>
      </c>
      <c r="K96" s="170">
        <v>0.63200000000000001</v>
      </c>
      <c r="L96" s="142" t="s">
        <v>131</v>
      </c>
      <c r="M96" s="171"/>
      <c r="N96" s="168"/>
      <c r="O96" s="168"/>
      <c r="P96" s="169"/>
      <c r="Q96" s="107"/>
    </row>
    <row r="97" spans="1:17" ht="55" customHeight="1" x14ac:dyDescent="0.35">
      <c r="A97" s="113">
        <v>11</v>
      </c>
      <c r="B97" s="222" t="s">
        <v>71</v>
      </c>
      <c r="C97" s="46">
        <v>1</v>
      </c>
      <c r="D97" s="56" t="s">
        <v>98</v>
      </c>
      <c r="E97" s="46" t="s">
        <v>11</v>
      </c>
      <c r="F97" s="46">
        <v>303.14999999999998</v>
      </c>
      <c r="G97" s="161" t="s">
        <v>45</v>
      </c>
      <c r="H97" s="21" t="s">
        <v>59</v>
      </c>
      <c r="I97" s="23" t="s">
        <v>52</v>
      </c>
      <c r="J97" s="23" t="s">
        <v>50</v>
      </c>
      <c r="K97" s="65">
        <v>0.377</v>
      </c>
      <c r="L97" s="66" t="s">
        <v>60</v>
      </c>
      <c r="M97" s="46" t="s">
        <v>34</v>
      </c>
      <c r="N97" s="165" t="s">
        <v>67</v>
      </c>
      <c r="O97" s="166" t="s">
        <v>68</v>
      </c>
      <c r="P97" s="35" t="s">
        <v>72</v>
      </c>
      <c r="Q97" s="92" t="s">
        <v>394</v>
      </c>
    </row>
    <row r="98" spans="1:17" ht="43.5" x14ac:dyDescent="0.35">
      <c r="A98" s="79"/>
      <c r="B98" s="222"/>
      <c r="C98" s="38"/>
      <c r="D98" s="47"/>
      <c r="E98" s="38"/>
      <c r="F98" s="38"/>
      <c r="G98" s="49"/>
      <c r="H98" s="24" t="s">
        <v>61</v>
      </c>
      <c r="I98" s="25" t="s">
        <v>52</v>
      </c>
      <c r="J98" s="25" t="s">
        <v>50</v>
      </c>
      <c r="K98" s="32">
        <v>0.40699999999999997</v>
      </c>
      <c r="L98" s="6" t="s">
        <v>62</v>
      </c>
      <c r="M98" s="38"/>
      <c r="N98" s="50"/>
      <c r="O98" s="51"/>
      <c r="P98" s="26" t="s">
        <v>73</v>
      </c>
      <c r="Q98" s="78"/>
    </row>
    <row r="99" spans="1:17" ht="58" x14ac:dyDescent="0.35">
      <c r="A99" s="79"/>
      <c r="B99" s="222"/>
      <c r="C99" s="38"/>
      <c r="D99" s="47"/>
      <c r="E99" s="38"/>
      <c r="F99" s="38"/>
      <c r="G99" s="49"/>
      <c r="H99" s="24" t="s">
        <v>63</v>
      </c>
      <c r="I99" s="25" t="s">
        <v>52</v>
      </c>
      <c r="J99" s="25" t="s">
        <v>50</v>
      </c>
      <c r="K99" s="32">
        <v>0.56499999999999995</v>
      </c>
      <c r="L99" s="6" t="s">
        <v>64</v>
      </c>
      <c r="M99" s="38"/>
      <c r="N99" s="50"/>
      <c r="O99" s="51"/>
      <c r="P99" s="26" t="s">
        <v>74</v>
      </c>
      <c r="Q99" s="78"/>
    </row>
    <row r="100" spans="1:17" ht="43.5" x14ac:dyDescent="0.35">
      <c r="A100" s="79"/>
      <c r="B100" s="222"/>
      <c r="C100" s="38"/>
      <c r="D100" s="47"/>
      <c r="E100" s="38"/>
      <c r="F100" s="38"/>
      <c r="G100" s="49"/>
      <c r="H100" s="24" t="s">
        <v>65</v>
      </c>
      <c r="I100" s="25" t="s">
        <v>52</v>
      </c>
      <c r="J100" s="25" t="s">
        <v>50</v>
      </c>
      <c r="K100" s="32">
        <v>0.50900000000000001</v>
      </c>
      <c r="L100" s="6" t="s">
        <v>66</v>
      </c>
      <c r="M100" s="38"/>
      <c r="N100" s="50"/>
      <c r="O100" s="51"/>
      <c r="P100" s="26" t="s">
        <v>75</v>
      </c>
      <c r="Q100" s="78"/>
    </row>
    <row r="101" spans="1:17" ht="44" thickBot="1" x14ac:dyDescent="0.4">
      <c r="A101" s="127"/>
      <c r="B101" s="222"/>
      <c r="C101" s="45"/>
      <c r="D101" s="55"/>
      <c r="E101" s="45"/>
      <c r="F101" s="22">
        <v>293.14999999999998</v>
      </c>
      <c r="G101" s="172"/>
      <c r="H101" s="45"/>
      <c r="I101" s="45"/>
      <c r="J101" s="45"/>
      <c r="K101" s="45"/>
      <c r="L101" s="45"/>
      <c r="M101" s="22" t="s">
        <v>34</v>
      </c>
      <c r="N101" s="173" t="s">
        <v>69</v>
      </c>
      <c r="O101" s="158" t="s">
        <v>70</v>
      </c>
      <c r="P101" s="34" t="s">
        <v>76</v>
      </c>
      <c r="Q101" s="112"/>
    </row>
    <row r="102" spans="1:17" ht="72.5" customHeight="1" x14ac:dyDescent="0.35">
      <c r="A102" s="210">
        <v>12</v>
      </c>
      <c r="B102" s="225" t="s">
        <v>94</v>
      </c>
      <c r="C102" s="213">
        <v>1</v>
      </c>
      <c r="D102" s="117" t="s">
        <v>97</v>
      </c>
      <c r="E102" s="93" t="s">
        <v>11</v>
      </c>
      <c r="F102" s="93">
        <v>303.14999999999998</v>
      </c>
      <c r="G102" s="94" t="s">
        <v>78</v>
      </c>
      <c r="H102" s="162" t="s">
        <v>79</v>
      </c>
      <c r="I102" s="118" t="s">
        <v>80</v>
      </c>
      <c r="J102" s="118" t="s">
        <v>50</v>
      </c>
      <c r="K102" s="100">
        <v>699</v>
      </c>
      <c r="L102" s="101" t="s">
        <v>81</v>
      </c>
      <c r="M102" s="118" t="s">
        <v>34</v>
      </c>
      <c r="N102" s="174">
        <v>164.55</v>
      </c>
      <c r="O102" s="175" t="s">
        <v>82</v>
      </c>
      <c r="P102" s="94" t="s">
        <v>76</v>
      </c>
      <c r="Q102" s="121" t="s">
        <v>396</v>
      </c>
    </row>
    <row r="103" spans="1:17" ht="29" x14ac:dyDescent="0.35">
      <c r="A103" s="211"/>
      <c r="B103" s="226"/>
      <c r="C103" s="59"/>
      <c r="D103" s="47"/>
      <c r="E103" s="38"/>
      <c r="F103" s="38"/>
      <c r="G103" s="44"/>
      <c r="H103" s="24" t="s">
        <v>83</v>
      </c>
      <c r="I103" s="25" t="s">
        <v>80</v>
      </c>
      <c r="J103" s="25" t="s">
        <v>50</v>
      </c>
      <c r="K103" s="32">
        <v>554</v>
      </c>
      <c r="L103" s="6" t="s">
        <v>84</v>
      </c>
      <c r="M103" s="25" t="s">
        <v>34</v>
      </c>
      <c r="N103" s="36">
        <v>136.13</v>
      </c>
      <c r="O103" s="10" t="s">
        <v>85</v>
      </c>
      <c r="P103" s="44"/>
      <c r="Q103" s="78"/>
    </row>
    <row r="104" spans="1:17" ht="29" x14ac:dyDescent="0.35">
      <c r="A104" s="211"/>
      <c r="B104" s="226"/>
      <c r="C104" s="59"/>
      <c r="D104" s="47"/>
      <c r="E104" s="38"/>
      <c r="F104" s="38"/>
      <c r="G104" s="44"/>
      <c r="H104" s="24" t="s">
        <v>86</v>
      </c>
      <c r="I104" s="25" t="s">
        <v>80</v>
      </c>
      <c r="J104" s="25" t="s">
        <v>50</v>
      </c>
      <c r="K104" s="32">
        <v>406</v>
      </c>
      <c r="L104" s="6" t="s">
        <v>87</v>
      </c>
      <c r="M104" s="25" t="s">
        <v>34</v>
      </c>
      <c r="N104" s="36">
        <v>325</v>
      </c>
      <c r="O104" s="10" t="s">
        <v>88</v>
      </c>
      <c r="P104" s="44"/>
      <c r="Q104" s="78"/>
    </row>
    <row r="105" spans="1:17" ht="29" x14ac:dyDescent="0.35">
      <c r="A105" s="211"/>
      <c r="B105" s="226"/>
      <c r="C105" s="59"/>
      <c r="D105" s="47"/>
      <c r="E105" s="38"/>
      <c r="F105" s="38"/>
      <c r="G105" s="44"/>
      <c r="H105" s="24" t="s">
        <v>89</v>
      </c>
      <c r="I105" s="25" t="s">
        <v>80</v>
      </c>
      <c r="J105" s="25" t="s">
        <v>50</v>
      </c>
      <c r="K105" s="32">
        <v>325</v>
      </c>
      <c r="L105" s="6" t="s">
        <v>88</v>
      </c>
      <c r="M105" s="25" t="s">
        <v>34</v>
      </c>
      <c r="N105" s="32">
        <v>110.7</v>
      </c>
      <c r="O105" s="6" t="s">
        <v>90</v>
      </c>
      <c r="P105" s="44"/>
      <c r="Q105" s="78"/>
    </row>
    <row r="106" spans="1:17" ht="29.5" thickBot="1" x14ac:dyDescent="0.4">
      <c r="A106" s="212"/>
      <c r="B106" s="227"/>
      <c r="C106" s="214"/>
      <c r="D106" s="103"/>
      <c r="E106" s="83"/>
      <c r="F106" s="81">
        <v>310.14999999999998</v>
      </c>
      <c r="G106" s="104"/>
      <c r="H106" s="87" t="s">
        <v>91</v>
      </c>
      <c r="I106" s="81" t="s">
        <v>80</v>
      </c>
      <c r="J106" s="81" t="s">
        <v>50</v>
      </c>
      <c r="K106" s="84">
        <v>520</v>
      </c>
      <c r="L106" s="176" t="s">
        <v>92</v>
      </c>
      <c r="M106" s="81" t="s">
        <v>34</v>
      </c>
      <c r="N106" s="84">
        <v>145.6</v>
      </c>
      <c r="O106" s="176" t="s">
        <v>93</v>
      </c>
      <c r="P106" s="104"/>
      <c r="Q106" s="126"/>
    </row>
    <row r="107" spans="1:17" ht="43.5" customHeight="1" x14ac:dyDescent="0.35">
      <c r="A107" s="210">
        <v>13</v>
      </c>
      <c r="B107" s="225" t="s">
        <v>188</v>
      </c>
      <c r="C107" s="213">
        <v>1</v>
      </c>
      <c r="D107" s="117" t="s">
        <v>96</v>
      </c>
      <c r="E107" s="93" t="s">
        <v>11</v>
      </c>
      <c r="F107" s="93">
        <v>303.14999999999998</v>
      </c>
      <c r="G107" s="167" t="s">
        <v>45</v>
      </c>
      <c r="H107" s="162" t="s">
        <v>103</v>
      </c>
      <c r="I107" s="118" t="s">
        <v>80</v>
      </c>
      <c r="J107" s="118" t="s">
        <v>50</v>
      </c>
      <c r="K107" s="100">
        <v>0.442</v>
      </c>
      <c r="L107" s="101" t="s">
        <v>104</v>
      </c>
      <c r="M107" s="93"/>
      <c r="N107" s="93"/>
      <c r="O107" s="93"/>
      <c r="P107" s="177" t="s">
        <v>105</v>
      </c>
      <c r="Q107" s="121" t="s">
        <v>395</v>
      </c>
    </row>
    <row r="108" spans="1:17" ht="29" x14ac:dyDescent="0.35">
      <c r="A108" s="211"/>
      <c r="B108" s="226"/>
      <c r="C108" s="59"/>
      <c r="D108" s="47"/>
      <c r="E108" s="38"/>
      <c r="F108" s="38"/>
      <c r="G108" s="49"/>
      <c r="H108" s="24" t="s">
        <v>106</v>
      </c>
      <c r="I108" s="25" t="s">
        <v>80</v>
      </c>
      <c r="J108" s="25" t="s">
        <v>50</v>
      </c>
      <c r="K108" s="32">
        <v>0.377</v>
      </c>
      <c r="L108" s="6" t="s">
        <v>107</v>
      </c>
      <c r="M108" s="38"/>
      <c r="N108" s="38"/>
      <c r="O108" s="38"/>
      <c r="P108" s="26" t="s">
        <v>105</v>
      </c>
      <c r="Q108" s="78"/>
    </row>
    <row r="109" spans="1:17" ht="29" x14ac:dyDescent="0.35">
      <c r="A109" s="211"/>
      <c r="B109" s="226"/>
      <c r="C109" s="59"/>
      <c r="D109" s="47"/>
      <c r="E109" s="38"/>
      <c r="F109" s="38"/>
      <c r="G109" s="49"/>
      <c r="H109" s="24" t="s">
        <v>108</v>
      </c>
      <c r="I109" s="25" t="s">
        <v>80</v>
      </c>
      <c r="J109" s="25" t="s">
        <v>50</v>
      </c>
      <c r="K109" s="32">
        <v>0.34699999999999998</v>
      </c>
      <c r="L109" s="6" t="s">
        <v>109</v>
      </c>
      <c r="M109" s="38"/>
      <c r="N109" s="38"/>
      <c r="O109" s="38"/>
      <c r="P109" s="26" t="s">
        <v>110</v>
      </c>
      <c r="Q109" s="78"/>
    </row>
    <row r="110" spans="1:17" ht="29" x14ac:dyDescent="0.35">
      <c r="A110" s="211"/>
      <c r="B110" s="226"/>
      <c r="C110" s="59"/>
      <c r="D110" s="47"/>
      <c r="E110" s="38"/>
      <c r="F110" s="38"/>
      <c r="G110" s="49"/>
      <c r="H110" s="24" t="s">
        <v>111</v>
      </c>
      <c r="I110" s="25" t="s">
        <v>80</v>
      </c>
      <c r="J110" s="25" t="s">
        <v>50</v>
      </c>
      <c r="K110" s="32">
        <v>2.5399999999999999E-2</v>
      </c>
      <c r="L110" s="6" t="s">
        <v>112</v>
      </c>
      <c r="M110" s="38"/>
      <c r="N110" s="38"/>
      <c r="O110" s="38"/>
      <c r="P110" s="26" t="s">
        <v>113</v>
      </c>
      <c r="Q110" s="78"/>
    </row>
    <row r="111" spans="1:17" ht="29" x14ac:dyDescent="0.35">
      <c r="A111" s="211"/>
      <c r="B111" s="226"/>
      <c r="C111" s="59"/>
      <c r="D111" s="47"/>
      <c r="E111" s="38"/>
      <c r="F111" s="38"/>
      <c r="G111" s="49"/>
      <c r="H111" s="24" t="s">
        <v>114</v>
      </c>
      <c r="I111" s="25" t="s">
        <v>80</v>
      </c>
      <c r="J111" s="25" t="s">
        <v>50</v>
      </c>
      <c r="K111" s="32">
        <v>0.21199999999999999</v>
      </c>
      <c r="L111" s="6" t="s">
        <v>66</v>
      </c>
      <c r="M111" s="38"/>
      <c r="N111" s="38"/>
      <c r="O111" s="38"/>
      <c r="P111" s="26" t="s">
        <v>115</v>
      </c>
      <c r="Q111" s="78"/>
    </row>
    <row r="112" spans="1:17" ht="29" x14ac:dyDescent="0.35">
      <c r="A112" s="211"/>
      <c r="B112" s="226"/>
      <c r="C112" s="59"/>
      <c r="D112" s="47"/>
      <c r="E112" s="38"/>
      <c r="F112" s="38"/>
      <c r="G112" s="49"/>
      <c r="H112" s="24" t="s">
        <v>116</v>
      </c>
      <c r="I112" s="25" t="s">
        <v>80</v>
      </c>
      <c r="J112" s="25" t="s">
        <v>50</v>
      </c>
      <c r="K112" s="32">
        <v>0.30299999999999999</v>
      </c>
      <c r="L112" s="6" t="s">
        <v>117</v>
      </c>
      <c r="M112" s="38"/>
      <c r="N112" s="38"/>
      <c r="O112" s="38"/>
      <c r="P112" s="26" t="s">
        <v>110</v>
      </c>
      <c r="Q112" s="78"/>
    </row>
    <row r="113" spans="1:17" ht="29" x14ac:dyDescent="0.35">
      <c r="A113" s="211"/>
      <c r="B113" s="226"/>
      <c r="C113" s="59"/>
      <c r="D113" s="47"/>
      <c r="E113" s="38"/>
      <c r="F113" s="38"/>
      <c r="G113" s="49"/>
      <c r="H113" s="24" t="s">
        <v>118</v>
      </c>
      <c r="I113" s="25" t="s">
        <v>80</v>
      </c>
      <c r="J113" s="25" t="s">
        <v>50</v>
      </c>
      <c r="K113" s="32">
        <v>0.20799999999999999</v>
      </c>
      <c r="L113" s="6" t="s">
        <v>119</v>
      </c>
      <c r="M113" s="38"/>
      <c r="N113" s="38"/>
      <c r="O113" s="38"/>
      <c r="P113" s="26" t="s">
        <v>113</v>
      </c>
      <c r="Q113" s="78"/>
    </row>
    <row r="114" spans="1:17" ht="29" x14ac:dyDescent="0.35">
      <c r="A114" s="211"/>
      <c r="B114" s="226"/>
      <c r="C114" s="59"/>
      <c r="D114" s="47"/>
      <c r="E114" s="38"/>
      <c r="F114" s="38"/>
      <c r="G114" s="49"/>
      <c r="H114" s="24" t="s">
        <v>120</v>
      </c>
      <c r="I114" s="25" t="s">
        <v>80</v>
      </c>
      <c r="J114" s="25" t="s">
        <v>50</v>
      </c>
      <c r="K114" s="32">
        <v>0.222</v>
      </c>
      <c r="L114" s="6" t="s">
        <v>66</v>
      </c>
      <c r="M114" s="38"/>
      <c r="N114" s="38"/>
      <c r="O114" s="38"/>
      <c r="P114" s="26" t="s">
        <v>121</v>
      </c>
      <c r="Q114" s="78"/>
    </row>
    <row r="115" spans="1:17" ht="29" x14ac:dyDescent="0.35">
      <c r="A115" s="211"/>
      <c r="B115" s="226"/>
      <c r="C115" s="59"/>
      <c r="D115" s="47"/>
      <c r="E115" s="38"/>
      <c r="F115" s="38"/>
      <c r="G115" s="49"/>
      <c r="H115" s="24" t="s">
        <v>122</v>
      </c>
      <c r="I115" s="25" t="s">
        <v>80</v>
      </c>
      <c r="J115" s="25" t="s">
        <v>50</v>
      </c>
      <c r="K115" s="32">
        <v>0.26500000000000001</v>
      </c>
      <c r="L115" s="6" t="s">
        <v>123</v>
      </c>
      <c r="M115" s="38"/>
      <c r="N115" s="38"/>
      <c r="O115" s="38"/>
      <c r="P115" s="26" t="s">
        <v>124</v>
      </c>
      <c r="Q115" s="78"/>
    </row>
    <row r="116" spans="1:17" ht="29" x14ac:dyDescent="0.35">
      <c r="A116" s="211"/>
      <c r="B116" s="226"/>
      <c r="C116" s="59"/>
      <c r="D116" s="47"/>
      <c r="E116" s="38"/>
      <c r="F116" s="38"/>
      <c r="G116" s="49"/>
      <c r="H116" s="24" t="s">
        <v>122</v>
      </c>
      <c r="I116" s="25" t="s">
        <v>80</v>
      </c>
      <c r="J116" s="25" t="s">
        <v>50</v>
      </c>
      <c r="K116" s="32">
        <v>0.161</v>
      </c>
      <c r="L116" s="6" t="s">
        <v>125</v>
      </c>
      <c r="M116" s="38"/>
      <c r="N116" s="38"/>
      <c r="O116" s="38"/>
      <c r="P116" s="26" t="s">
        <v>126</v>
      </c>
      <c r="Q116" s="78"/>
    </row>
    <row r="117" spans="1:17" ht="29" x14ac:dyDescent="0.35">
      <c r="A117" s="211"/>
      <c r="B117" s="226"/>
      <c r="C117" s="59"/>
      <c r="D117" s="47"/>
      <c r="E117" s="38"/>
      <c r="F117" s="38"/>
      <c r="G117" s="49"/>
      <c r="H117" s="24" t="s">
        <v>127</v>
      </c>
      <c r="I117" s="25" t="s">
        <v>80</v>
      </c>
      <c r="J117" s="25" t="s">
        <v>50</v>
      </c>
      <c r="K117" s="32">
        <v>0.372</v>
      </c>
      <c r="L117" s="6" t="s">
        <v>128</v>
      </c>
      <c r="M117" s="38"/>
      <c r="N117" s="38"/>
      <c r="O117" s="38"/>
      <c r="P117" s="26" t="s">
        <v>129</v>
      </c>
      <c r="Q117" s="78"/>
    </row>
    <row r="118" spans="1:17" ht="29" x14ac:dyDescent="0.35">
      <c r="A118" s="211"/>
      <c r="B118" s="226"/>
      <c r="C118" s="59"/>
      <c r="D118" s="47"/>
      <c r="E118" s="38"/>
      <c r="F118" s="38"/>
      <c r="G118" s="49"/>
      <c r="H118" s="24" t="s">
        <v>130</v>
      </c>
      <c r="I118" s="25" t="s">
        <v>80</v>
      </c>
      <c r="J118" s="25" t="s">
        <v>50</v>
      </c>
      <c r="K118" s="32">
        <v>0.375</v>
      </c>
      <c r="L118" s="6" t="s">
        <v>131</v>
      </c>
      <c r="M118" s="38"/>
      <c r="N118" s="38"/>
      <c r="O118" s="38"/>
      <c r="P118" s="26" t="s">
        <v>132</v>
      </c>
      <c r="Q118" s="78"/>
    </row>
    <row r="119" spans="1:17" ht="29" x14ac:dyDescent="0.35">
      <c r="A119" s="211"/>
      <c r="B119" s="226"/>
      <c r="C119" s="59"/>
      <c r="D119" s="47"/>
      <c r="E119" s="38"/>
      <c r="F119" s="38"/>
      <c r="G119" s="49"/>
      <c r="H119" s="24" t="s">
        <v>133</v>
      </c>
      <c r="I119" s="25" t="s">
        <v>80</v>
      </c>
      <c r="J119" s="25" t="s">
        <v>50</v>
      </c>
      <c r="K119" s="32">
        <v>0.25700000000000001</v>
      </c>
      <c r="L119" s="6" t="s">
        <v>134</v>
      </c>
      <c r="M119" s="38"/>
      <c r="N119" s="38"/>
      <c r="O119" s="38"/>
      <c r="P119" s="26" t="s">
        <v>129</v>
      </c>
      <c r="Q119" s="78"/>
    </row>
    <row r="120" spans="1:17" ht="29" x14ac:dyDescent="0.35">
      <c r="A120" s="211"/>
      <c r="B120" s="226"/>
      <c r="C120" s="59"/>
      <c r="D120" s="47"/>
      <c r="E120" s="38"/>
      <c r="F120" s="38"/>
      <c r="G120" s="49"/>
      <c r="H120" s="24" t="s">
        <v>135</v>
      </c>
      <c r="I120" s="25" t="s">
        <v>80</v>
      </c>
      <c r="J120" s="25" t="s">
        <v>50</v>
      </c>
      <c r="K120" s="32">
        <v>0.72699999999999998</v>
      </c>
      <c r="L120" s="6" t="s">
        <v>136</v>
      </c>
      <c r="M120" s="38"/>
      <c r="N120" s="38"/>
      <c r="O120" s="38"/>
      <c r="P120" s="26" t="s">
        <v>141</v>
      </c>
      <c r="Q120" s="78"/>
    </row>
    <row r="121" spans="1:17" ht="29" x14ac:dyDescent="0.35">
      <c r="A121" s="211"/>
      <c r="B121" s="226"/>
      <c r="C121" s="59"/>
      <c r="D121" s="47"/>
      <c r="E121" s="38"/>
      <c r="F121" s="38"/>
      <c r="G121" s="49"/>
      <c r="H121" s="24" t="s">
        <v>137</v>
      </c>
      <c r="I121" s="25" t="s">
        <v>80</v>
      </c>
      <c r="J121" s="25" t="s">
        <v>50</v>
      </c>
      <c r="K121" s="32">
        <v>1.171</v>
      </c>
      <c r="L121" s="6" t="s">
        <v>138</v>
      </c>
      <c r="M121" s="38"/>
      <c r="N121" s="38"/>
      <c r="O121" s="38"/>
      <c r="P121" s="26" t="s">
        <v>142</v>
      </c>
      <c r="Q121" s="78"/>
    </row>
    <row r="122" spans="1:17" ht="29" x14ac:dyDescent="0.35">
      <c r="A122" s="211"/>
      <c r="B122" s="226"/>
      <c r="C122" s="59"/>
      <c r="D122" s="47"/>
      <c r="E122" s="38"/>
      <c r="F122" s="38"/>
      <c r="G122" s="49"/>
      <c r="H122" s="24" t="s">
        <v>139</v>
      </c>
      <c r="I122" s="25" t="s">
        <v>80</v>
      </c>
      <c r="J122" s="25" t="s">
        <v>50</v>
      </c>
      <c r="K122" s="32">
        <v>0.375</v>
      </c>
      <c r="L122" s="6" t="s">
        <v>140</v>
      </c>
      <c r="M122" s="38"/>
      <c r="N122" s="38"/>
      <c r="O122" s="38"/>
      <c r="P122" s="26" t="s">
        <v>143</v>
      </c>
      <c r="Q122" s="78"/>
    </row>
    <row r="123" spans="1:17" ht="29" x14ac:dyDescent="0.35">
      <c r="A123" s="211"/>
      <c r="B123" s="226"/>
      <c r="C123" s="59"/>
      <c r="D123" s="47"/>
      <c r="E123" s="38"/>
      <c r="F123" s="38"/>
      <c r="G123" s="49"/>
      <c r="H123" s="24" t="s">
        <v>120</v>
      </c>
      <c r="I123" s="25" t="s">
        <v>80</v>
      </c>
      <c r="J123" s="25" t="s">
        <v>50</v>
      </c>
      <c r="K123" s="32">
        <v>0.251</v>
      </c>
      <c r="L123" s="6" t="s">
        <v>144</v>
      </c>
      <c r="M123" s="38"/>
      <c r="N123" s="38"/>
      <c r="O123" s="38"/>
      <c r="P123" s="26" t="s">
        <v>145</v>
      </c>
      <c r="Q123" s="78"/>
    </row>
    <row r="124" spans="1:17" ht="29" x14ac:dyDescent="0.35">
      <c r="A124" s="211"/>
      <c r="B124" s="226"/>
      <c r="C124" s="59"/>
      <c r="D124" s="47"/>
      <c r="E124" s="38"/>
      <c r="F124" s="38"/>
      <c r="G124" s="49"/>
      <c r="H124" s="24" t="s">
        <v>146</v>
      </c>
      <c r="I124" s="25" t="s">
        <v>80</v>
      </c>
      <c r="J124" s="25" t="s">
        <v>50</v>
      </c>
      <c r="K124" s="32">
        <v>0.21</v>
      </c>
      <c r="L124" s="6" t="s">
        <v>117</v>
      </c>
      <c r="M124" s="38"/>
      <c r="N124" s="38"/>
      <c r="O124" s="38"/>
      <c r="P124" s="26" t="s">
        <v>147</v>
      </c>
      <c r="Q124" s="78"/>
    </row>
    <row r="125" spans="1:17" ht="29" x14ac:dyDescent="0.35">
      <c r="A125" s="211"/>
      <c r="B125" s="226"/>
      <c r="C125" s="59"/>
      <c r="D125" s="47"/>
      <c r="E125" s="38"/>
      <c r="F125" s="38"/>
      <c r="G125" s="49"/>
      <c r="H125" s="24" t="s">
        <v>148</v>
      </c>
      <c r="I125" s="25" t="s">
        <v>80</v>
      </c>
      <c r="J125" s="25" t="s">
        <v>50</v>
      </c>
      <c r="K125" s="32">
        <v>0.222</v>
      </c>
      <c r="L125" s="6" t="s">
        <v>149</v>
      </c>
      <c r="M125" s="38"/>
      <c r="N125" s="38"/>
      <c r="O125" s="38"/>
      <c r="P125" s="26" t="s">
        <v>153</v>
      </c>
      <c r="Q125" s="78"/>
    </row>
    <row r="126" spans="1:17" ht="29" x14ac:dyDescent="0.35">
      <c r="A126" s="211"/>
      <c r="B126" s="226"/>
      <c r="C126" s="59"/>
      <c r="D126" s="47"/>
      <c r="E126" s="38"/>
      <c r="F126" s="38"/>
      <c r="G126" s="49"/>
      <c r="H126" s="24" t="s">
        <v>150</v>
      </c>
      <c r="I126" s="25" t="s">
        <v>80</v>
      </c>
      <c r="J126" s="25" t="s">
        <v>50</v>
      </c>
      <c r="K126" s="32">
        <v>5.6000000000000001E-2</v>
      </c>
      <c r="L126" s="6" t="s">
        <v>151</v>
      </c>
      <c r="M126" s="38"/>
      <c r="N126" s="38"/>
      <c r="O126" s="38"/>
      <c r="P126" s="26" t="s">
        <v>152</v>
      </c>
      <c r="Q126" s="78"/>
    </row>
    <row r="127" spans="1:17" ht="43.5" x14ac:dyDescent="0.35">
      <c r="A127" s="211"/>
      <c r="B127" s="226"/>
      <c r="C127" s="59">
        <v>2</v>
      </c>
      <c r="D127" s="47" t="s">
        <v>102</v>
      </c>
      <c r="E127" s="38" t="s">
        <v>11</v>
      </c>
      <c r="F127" s="38">
        <v>310.14999999999998</v>
      </c>
      <c r="G127" s="49" t="s">
        <v>45</v>
      </c>
      <c r="H127" s="24" t="s">
        <v>154</v>
      </c>
      <c r="I127" s="25" t="s">
        <v>80</v>
      </c>
      <c r="J127" s="25" t="s">
        <v>50</v>
      </c>
      <c r="K127" s="32">
        <v>0.78300000000000003</v>
      </c>
      <c r="L127" s="6" t="s">
        <v>155</v>
      </c>
      <c r="M127" s="38"/>
      <c r="N127" s="38"/>
      <c r="O127" s="38"/>
      <c r="P127" s="26" t="s">
        <v>105</v>
      </c>
      <c r="Q127" s="78"/>
    </row>
    <row r="128" spans="1:17" ht="43.5" x14ac:dyDescent="0.35">
      <c r="A128" s="211"/>
      <c r="B128" s="226"/>
      <c r="C128" s="59"/>
      <c r="D128" s="47"/>
      <c r="E128" s="38"/>
      <c r="F128" s="38"/>
      <c r="G128" s="49"/>
      <c r="H128" s="24" t="s">
        <v>156</v>
      </c>
      <c r="I128" s="25" t="s">
        <v>80</v>
      </c>
      <c r="J128" s="25" t="s">
        <v>50</v>
      </c>
      <c r="K128" s="32">
        <v>0.68</v>
      </c>
      <c r="L128" s="6" t="s">
        <v>157</v>
      </c>
      <c r="M128" s="38"/>
      <c r="N128" s="38"/>
      <c r="O128" s="38"/>
      <c r="P128" s="26" t="s">
        <v>110</v>
      </c>
      <c r="Q128" s="78"/>
    </row>
    <row r="129" spans="1:17" ht="43.5" x14ac:dyDescent="0.35">
      <c r="A129" s="211"/>
      <c r="B129" s="226"/>
      <c r="C129" s="59"/>
      <c r="D129" s="47"/>
      <c r="E129" s="38"/>
      <c r="F129" s="38"/>
      <c r="G129" s="49"/>
      <c r="H129" s="24" t="s">
        <v>158</v>
      </c>
      <c r="I129" s="25" t="s">
        <v>80</v>
      </c>
      <c r="J129" s="25" t="s">
        <v>50</v>
      </c>
      <c r="K129" s="32">
        <v>0.58899999999999997</v>
      </c>
      <c r="L129" s="6" t="s">
        <v>159</v>
      </c>
      <c r="M129" s="38"/>
      <c r="N129" s="38"/>
      <c r="O129" s="38"/>
      <c r="P129" s="26" t="s">
        <v>113</v>
      </c>
      <c r="Q129" s="78"/>
    </row>
    <row r="130" spans="1:17" ht="43.5" x14ac:dyDescent="0.35">
      <c r="A130" s="211"/>
      <c r="B130" s="226"/>
      <c r="C130" s="59"/>
      <c r="D130" s="47"/>
      <c r="E130" s="38"/>
      <c r="F130" s="38"/>
      <c r="G130" s="49"/>
      <c r="H130" s="24" t="s">
        <v>160</v>
      </c>
      <c r="I130" s="25" t="s">
        <v>80</v>
      </c>
      <c r="J130" s="25" t="s">
        <v>50</v>
      </c>
      <c r="K130" s="32">
        <v>0.68400000000000005</v>
      </c>
      <c r="L130" s="6" t="s">
        <v>157</v>
      </c>
      <c r="M130" s="38"/>
      <c r="N130" s="38"/>
      <c r="O130" s="38"/>
      <c r="P130" s="26" t="s">
        <v>132</v>
      </c>
      <c r="Q130" s="78"/>
    </row>
    <row r="131" spans="1:17" ht="43.5" x14ac:dyDescent="0.35">
      <c r="A131" s="211"/>
      <c r="B131" s="226"/>
      <c r="C131" s="59"/>
      <c r="D131" s="47"/>
      <c r="E131" s="38"/>
      <c r="F131" s="38"/>
      <c r="G131" s="49"/>
      <c r="H131" s="24" t="s">
        <v>161</v>
      </c>
      <c r="I131" s="25" t="s">
        <v>80</v>
      </c>
      <c r="J131" s="25" t="s">
        <v>50</v>
      </c>
      <c r="K131" s="32">
        <v>0.64</v>
      </c>
      <c r="L131" s="6" t="s">
        <v>162</v>
      </c>
      <c r="M131" s="38"/>
      <c r="N131" s="38"/>
      <c r="O131" s="38"/>
      <c r="P131" s="26" t="s">
        <v>129</v>
      </c>
      <c r="Q131" s="78"/>
    </row>
    <row r="132" spans="1:17" ht="43.5" x14ac:dyDescent="0.35">
      <c r="A132" s="211"/>
      <c r="B132" s="226"/>
      <c r="C132" s="59"/>
      <c r="D132" s="47"/>
      <c r="E132" s="38"/>
      <c r="F132" s="38"/>
      <c r="G132" s="49"/>
      <c r="H132" s="24" t="s">
        <v>163</v>
      </c>
      <c r="I132" s="25" t="s">
        <v>80</v>
      </c>
      <c r="J132" s="25" t="s">
        <v>50</v>
      </c>
      <c r="K132" s="32">
        <v>0.73199999999999998</v>
      </c>
      <c r="L132" s="6" t="s">
        <v>149</v>
      </c>
      <c r="M132" s="38"/>
      <c r="N132" s="38"/>
      <c r="O132" s="38"/>
      <c r="P132" s="26" t="s">
        <v>164</v>
      </c>
      <c r="Q132" s="78"/>
    </row>
    <row r="133" spans="1:17" ht="43.5" x14ac:dyDescent="0.35">
      <c r="A133" s="211"/>
      <c r="B133" s="226"/>
      <c r="C133" s="59"/>
      <c r="D133" s="47"/>
      <c r="E133" s="38"/>
      <c r="F133" s="38"/>
      <c r="G133" s="49"/>
      <c r="H133" s="24" t="s">
        <v>165</v>
      </c>
      <c r="I133" s="25" t="s">
        <v>80</v>
      </c>
      <c r="J133" s="25" t="s">
        <v>50</v>
      </c>
      <c r="K133" s="32">
        <v>0.74199999999999999</v>
      </c>
      <c r="L133" s="6" t="s">
        <v>166</v>
      </c>
      <c r="M133" s="38"/>
      <c r="N133" s="38"/>
      <c r="O133" s="38"/>
      <c r="P133" s="26" t="s">
        <v>167</v>
      </c>
      <c r="Q133" s="78"/>
    </row>
    <row r="134" spans="1:17" ht="43.5" x14ac:dyDescent="0.35">
      <c r="A134" s="211"/>
      <c r="B134" s="226"/>
      <c r="C134" s="59"/>
      <c r="D134" s="47"/>
      <c r="E134" s="38"/>
      <c r="F134" s="38"/>
      <c r="G134" s="49"/>
      <c r="H134" s="24" t="s">
        <v>168</v>
      </c>
      <c r="I134" s="25" t="s">
        <v>80</v>
      </c>
      <c r="J134" s="25" t="s">
        <v>50</v>
      </c>
      <c r="K134" s="32">
        <v>0.58499999999999996</v>
      </c>
      <c r="L134" s="6" t="s">
        <v>128</v>
      </c>
      <c r="M134" s="38"/>
      <c r="N134" s="38"/>
      <c r="O134" s="38"/>
      <c r="P134" s="26" t="s">
        <v>169</v>
      </c>
      <c r="Q134" s="78"/>
    </row>
    <row r="135" spans="1:17" ht="43.5" x14ac:dyDescent="0.35">
      <c r="A135" s="211"/>
      <c r="B135" s="226"/>
      <c r="C135" s="59"/>
      <c r="D135" s="47"/>
      <c r="E135" s="38"/>
      <c r="F135" s="38"/>
      <c r="G135" s="49"/>
      <c r="H135" s="24" t="s">
        <v>170</v>
      </c>
      <c r="I135" s="25" t="s">
        <v>80</v>
      </c>
      <c r="J135" s="25" t="s">
        <v>50</v>
      </c>
      <c r="K135" s="32">
        <v>0.66300000000000003</v>
      </c>
      <c r="L135" s="6" t="s">
        <v>151</v>
      </c>
      <c r="M135" s="38"/>
      <c r="N135" s="38"/>
      <c r="O135" s="38"/>
      <c r="P135" s="26" t="s">
        <v>171</v>
      </c>
      <c r="Q135" s="78"/>
    </row>
    <row r="136" spans="1:17" ht="43.5" x14ac:dyDescent="0.35">
      <c r="A136" s="211"/>
      <c r="B136" s="226"/>
      <c r="C136" s="59"/>
      <c r="D136" s="47"/>
      <c r="E136" s="38"/>
      <c r="F136" s="38"/>
      <c r="G136" s="49"/>
      <c r="H136" s="24" t="s">
        <v>172</v>
      </c>
      <c r="I136" s="25" t="s">
        <v>80</v>
      </c>
      <c r="J136" s="25" t="s">
        <v>50</v>
      </c>
      <c r="K136" s="32">
        <v>0.88900000000000001</v>
      </c>
      <c r="L136" s="6" t="s">
        <v>134</v>
      </c>
      <c r="M136" s="38"/>
      <c r="N136" s="38"/>
      <c r="O136" s="38"/>
      <c r="P136" s="26" t="s">
        <v>173</v>
      </c>
      <c r="Q136" s="78"/>
    </row>
    <row r="137" spans="1:17" ht="43.5" x14ac:dyDescent="0.35">
      <c r="A137" s="211"/>
      <c r="B137" s="226"/>
      <c r="C137" s="59"/>
      <c r="D137" s="47"/>
      <c r="E137" s="38"/>
      <c r="F137" s="38"/>
      <c r="G137" s="49"/>
      <c r="H137" s="24" t="s">
        <v>174</v>
      </c>
      <c r="I137" s="25" t="s">
        <v>80</v>
      </c>
      <c r="J137" s="25" t="s">
        <v>50</v>
      </c>
      <c r="K137" s="32">
        <v>0.89500000000000002</v>
      </c>
      <c r="L137" s="6" t="s">
        <v>175</v>
      </c>
      <c r="M137" s="38"/>
      <c r="N137" s="38"/>
      <c r="O137" s="38"/>
      <c r="P137" s="26" t="s">
        <v>176</v>
      </c>
      <c r="Q137" s="78"/>
    </row>
    <row r="138" spans="1:17" ht="43.5" x14ac:dyDescent="0.35">
      <c r="A138" s="211"/>
      <c r="B138" s="226"/>
      <c r="C138" s="59"/>
      <c r="D138" s="47"/>
      <c r="E138" s="38"/>
      <c r="F138" s="38"/>
      <c r="G138" s="49"/>
      <c r="H138" s="24" t="s">
        <v>177</v>
      </c>
      <c r="I138" s="25" t="s">
        <v>80</v>
      </c>
      <c r="J138" s="25" t="s">
        <v>50</v>
      </c>
      <c r="K138" s="32">
        <v>0.752</v>
      </c>
      <c r="L138" s="6" t="s">
        <v>119</v>
      </c>
      <c r="M138" s="38"/>
      <c r="N138" s="38"/>
      <c r="O138" s="38"/>
      <c r="P138" s="26" t="s">
        <v>178</v>
      </c>
      <c r="Q138" s="78"/>
    </row>
    <row r="139" spans="1:17" ht="43.5" x14ac:dyDescent="0.35">
      <c r="A139" s="211"/>
      <c r="B139" s="226"/>
      <c r="C139" s="59"/>
      <c r="D139" s="47"/>
      <c r="E139" s="38"/>
      <c r="F139" s="38"/>
      <c r="G139" s="49"/>
      <c r="H139" s="24" t="s">
        <v>179</v>
      </c>
      <c r="I139" s="25" t="s">
        <v>80</v>
      </c>
      <c r="J139" s="25" t="s">
        <v>50</v>
      </c>
      <c r="K139" s="32">
        <v>0.77200000000000002</v>
      </c>
      <c r="L139" s="6" t="s">
        <v>180</v>
      </c>
      <c r="M139" s="38"/>
      <c r="N139" s="38"/>
      <c r="O139" s="38"/>
      <c r="P139" s="26" t="s">
        <v>181</v>
      </c>
      <c r="Q139" s="78"/>
    </row>
    <row r="140" spans="1:17" ht="43.5" x14ac:dyDescent="0.35">
      <c r="A140" s="211"/>
      <c r="B140" s="226"/>
      <c r="C140" s="59"/>
      <c r="D140" s="47"/>
      <c r="E140" s="38"/>
      <c r="F140" s="38"/>
      <c r="G140" s="49"/>
      <c r="H140" s="24" t="s">
        <v>182</v>
      </c>
      <c r="I140" s="25" t="s">
        <v>80</v>
      </c>
      <c r="J140" s="25" t="s">
        <v>50</v>
      </c>
      <c r="K140" s="32">
        <v>0.59699999999999998</v>
      </c>
      <c r="L140" s="6" t="s">
        <v>151</v>
      </c>
      <c r="M140" s="38"/>
      <c r="N140" s="38"/>
      <c r="O140" s="38"/>
      <c r="P140" s="26" t="s">
        <v>183</v>
      </c>
      <c r="Q140" s="78"/>
    </row>
    <row r="141" spans="1:17" ht="43.5" x14ac:dyDescent="0.35">
      <c r="A141" s="211"/>
      <c r="B141" s="226"/>
      <c r="C141" s="59"/>
      <c r="D141" s="47"/>
      <c r="E141" s="38"/>
      <c r="F141" s="38"/>
      <c r="G141" s="49"/>
      <c r="H141" s="24" t="s">
        <v>184</v>
      </c>
      <c r="I141" s="25" t="s">
        <v>80</v>
      </c>
      <c r="J141" s="25" t="s">
        <v>50</v>
      </c>
      <c r="K141" s="32">
        <v>0.79</v>
      </c>
      <c r="L141" s="6" t="s">
        <v>157</v>
      </c>
      <c r="M141" s="38"/>
      <c r="N141" s="38"/>
      <c r="O141" s="38"/>
      <c r="P141" s="26" t="s">
        <v>185</v>
      </c>
      <c r="Q141" s="78"/>
    </row>
    <row r="142" spans="1:17" ht="44" thickBot="1" x14ac:dyDescent="0.4">
      <c r="A142" s="212"/>
      <c r="B142" s="227"/>
      <c r="C142" s="214"/>
      <c r="D142" s="103"/>
      <c r="E142" s="83"/>
      <c r="F142" s="83"/>
      <c r="G142" s="169"/>
      <c r="H142" s="87" t="s">
        <v>186</v>
      </c>
      <c r="I142" s="81" t="s">
        <v>80</v>
      </c>
      <c r="J142" s="81" t="s">
        <v>50</v>
      </c>
      <c r="K142" s="84">
        <v>0.69299999999999995</v>
      </c>
      <c r="L142" s="176" t="s">
        <v>62</v>
      </c>
      <c r="M142" s="83"/>
      <c r="N142" s="83"/>
      <c r="O142" s="83"/>
      <c r="P142" s="82" t="s">
        <v>187</v>
      </c>
      <c r="Q142" s="126"/>
    </row>
    <row r="143" spans="1:17" ht="42" customHeight="1" x14ac:dyDescent="0.35">
      <c r="A143" s="210">
        <v>14</v>
      </c>
      <c r="B143" s="225" t="s">
        <v>195</v>
      </c>
      <c r="C143" s="213">
        <v>1</v>
      </c>
      <c r="D143" s="117" t="s">
        <v>189</v>
      </c>
      <c r="E143" s="93" t="s">
        <v>11</v>
      </c>
      <c r="F143" s="93">
        <v>313</v>
      </c>
      <c r="G143" s="167" t="s">
        <v>45</v>
      </c>
      <c r="H143" s="162" t="s">
        <v>190</v>
      </c>
      <c r="I143" s="118" t="s">
        <v>80</v>
      </c>
      <c r="J143" s="118" t="s">
        <v>191</v>
      </c>
      <c r="K143" s="100">
        <v>559.4</v>
      </c>
      <c r="L143" s="101" t="s">
        <v>192</v>
      </c>
      <c r="M143" s="118" t="s">
        <v>193</v>
      </c>
      <c r="N143" s="100">
        <v>535.20000000000005</v>
      </c>
      <c r="O143" s="101" t="s">
        <v>194</v>
      </c>
      <c r="P143" s="94" t="s">
        <v>214</v>
      </c>
      <c r="Q143" s="121" t="s">
        <v>397</v>
      </c>
    </row>
    <row r="144" spans="1:17" ht="29" x14ac:dyDescent="0.35">
      <c r="A144" s="211"/>
      <c r="B144" s="226"/>
      <c r="C144" s="59"/>
      <c r="D144" s="47"/>
      <c r="E144" s="38"/>
      <c r="F144" s="38"/>
      <c r="G144" s="49"/>
      <c r="H144" s="24" t="s">
        <v>196</v>
      </c>
      <c r="I144" s="25" t="s">
        <v>80</v>
      </c>
      <c r="J144" s="25" t="s">
        <v>191</v>
      </c>
      <c r="K144" s="32">
        <v>578.79999999999995</v>
      </c>
      <c r="L144" s="6" t="s">
        <v>197</v>
      </c>
      <c r="M144" s="25" t="s">
        <v>193</v>
      </c>
      <c r="N144" s="32">
        <v>517.79999999999995</v>
      </c>
      <c r="O144" s="6" t="s">
        <v>198</v>
      </c>
      <c r="P144" s="44"/>
      <c r="Q144" s="78"/>
    </row>
    <row r="145" spans="1:17" ht="29" x14ac:dyDescent="0.35">
      <c r="A145" s="211"/>
      <c r="B145" s="226"/>
      <c r="C145" s="59"/>
      <c r="D145" s="47"/>
      <c r="E145" s="38"/>
      <c r="F145" s="38"/>
      <c r="G145" s="49"/>
      <c r="H145" s="24" t="s">
        <v>199</v>
      </c>
      <c r="I145" s="25" t="s">
        <v>80</v>
      </c>
      <c r="J145" s="25" t="s">
        <v>191</v>
      </c>
      <c r="K145" s="32">
        <v>640.20000000000005</v>
      </c>
      <c r="L145" s="6" t="s">
        <v>200</v>
      </c>
      <c r="M145" s="25" t="s">
        <v>193</v>
      </c>
      <c r="N145" s="32">
        <v>520.1</v>
      </c>
      <c r="O145" s="6" t="s">
        <v>201</v>
      </c>
      <c r="P145" s="44"/>
      <c r="Q145" s="78"/>
    </row>
    <row r="146" spans="1:17" ht="29" x14ac:dyDescent="0.35">
      <c r="A146" s="211"/>
      <c r="B146" s="226"/>
      <c r="C146" s="59"/>
      <c r="D146" s="47"/>
      <c r="E146" s="38"/>
      <c r="F146" s="38"/>
      <c r="G146" s="49"/>
      <c r="H146" s="24" t="s">
        <v>202</v>
      </c>
      <c r="I146" s="25" t="s">
        <v>80</v>
      </c>
      <c r="J146" s="25" t="s">
        <v>191</v>
      </c>
      <c r="K146" s="32">
        <v>705</v>
      </c>
      <c r="L146" s="6" t="s">
        <v>203</v>
      </c>
      <c r="M146" s="25" t="s">
        <v>193</v>
      </c>
      <c r="N146" s="32">
        <v>486.3</v>
      </c>
      <c r="O146" s="6" t="s">
        <v>204</v>
      </c>
      <c r="P146" s="44"/>
      <c r="Q146" s="78"/>
    </row>
    <row r="147" spans="1:17" ht="29" x14ac:dyDescent="0.35">
      <c r="A147" s="211"/>
      <c r="B147" s="226"/>
      <c r="C147" s="59"/>
      <c r="D147" s="47"/>
      <c r="E147" s="38"/>
      <c r="F147" s="38"/>
      <c r="G147" s="49"/>
      <c r="H147" s="24" t="s">
        <v>205</v>
      </c>
      <c r="I147" s="25" t="s">
        <v>80</v>
      </c>
      <c r="J147" s="25" t="s">
        <v>191</v>
      </c>
      <c r="K147" s="32">
        <v>854</v>
      </c>
      <c r="L147" s="6" t="s">
        <v>206</v>
      </c>
      <c r="M147" s="25" t="s">
        <v>193</v>
      </c>
      <c r="N147" s="32">
        <v>447.3</v>
      </c>
      <c r="O147" s="6" t="s">
        <v>207</v>
      </c>
      <c r="P147" s="44"/>
      <c r="Q147" s="78"/>
    </row>
    <row r="148" spans="1:17" ht="29" x14ac:dyDescent="0.35">
      <c r="A148" s="211"/>
      <c r="B148" s="226"/>
      <c r="C148" s="59"/>
      <c r="D148" s="47"/>
      <c r="E148" s="38"/>
      <c r="F148" s="25">
        <v>303</v>
      </c>
      <c r="G148" s="49"/>
      <c r="H148" s="24" t="s">
        <v>208</v>
      </c>
      <c r="I148" s="25" t="s">
        <v>80</v>
      </c>
      <c r="J148" s="25" t="s">
        <v>191</v>
      </c>
      <c r="K148" s="32">
        <v>1391.8</v>
      </c>
      <c r="L148" s="6" t="s">
        <v>209</v>
      </c>
      <c r="M148" s="25" t="s">
        <v>193</v>
      </c>
      <c r="N148" s="32">
        <v>945.59</v>
      </c>
      <c r="O148" s="6" t="s">
        <v>210</v>
      </c>
      <c r="P148" s="44"/>
      <c r="Q148" s="78"/>
    </row>
    <row r="149" spans="1:17" ht="29.5" thickBot="1" x14ac:dyDescent="0.4">
      <c r="A149" s="212"/>
      <c r="B149" s="227"/>
      <c r="C149" s="214"/>
      <c r="D149" s="103"/>
      <c r="E149" s="83"/>
      <c r="F149" s="81">
        <v>323</v>
      </c>
      <c r="G149" s="169"/>
      <c r="H149" s="87" t="s">
        <v>211</v>
      </c>
      <c r="I149" s="81" t="s">
        <v>80</v>
      </c>
      <c r="J149" s="81" t="s">
        <v>191</v>
      </c>
      <c r="K149" s="84">
        <v>403.1</v>
      </c>
      <c r="L149" s="176" t="s">
        <v>212</v>
      </c>
      <c r="M149" s="81" t="s">
        <v>193</v>
      </c>
      <c r="N149" s="84">
        <v>280.36</v>
      </c>
      <c r="O149" s="176" t="s">
        <v>213</v>
      </c>
      <c r="P149" s="104"/>
      <c r="Q149" s="126"/>
    </row>
    <row r="150" spans="1:17" ht="58" customHeight="1" x14ac:dyDescent="0.35">
      <c r="A150" s="210">
        <v>15</v>
      </c>
      <c r="B150" s="225" t="s">
        <v>233</v>
      </c>
      <c r="C150" s="213">
        <v>1</v>
      </c>
      <c r="D150" s="117" t="s">
        <v>235</v>
      </c>
      <c r="E150" s="93" t="s">
        <v>11</v>
      </c>
      <c r="F150" s="93">
        <v>293.14999999999998</v>
      </c>
      <c r="G150" s="162" t="s">
        <v>215</v>
      </c>
      <c r="H150" s="118" t="s">
        <v>216</v>
      </c>
      <c r="I150" s="118" t="s">
        <v>80</v>
      </c>
      <c r="J150" s="118" t="s">
        <v>217</v>
      </c>
      <c r="K150" s="174" t="s">
        <v>219</v>
      </c>
      <c r="L150" s="99" t="s">
        <v>8</v>
      </c>
      <c r="M150" s="118" t="s">
        <v>34</v>
      </c>
      <c r="N150" s="100">
        <v>4.9000000000000004</v>
      </c>
      <c r="O150" s="101" t="s">
        <v>232</v>
      </c>
      <c r="P150" s="177" t="s">
        <v>234</v>
      </c>
      <c r="Q150" s="121" t="s">
        <v>398</v>
      </c>
    </row>
    <row r="151" spans="1:17" ht="101.5" customHeight="1" x14ac:dyDescent="0.35">
      <c r="A151" s="211"/>
      <c r="B151" s="226"/>
      <c r="C151" s="59"/>
      <c r="D151" s="47"/>
      <c r="E151" s="38"/>
      <c r="F151" s="38"/>
      <c r="G151" s="24" t="s">
        <v>222</v>
      </c>
      <c r="H151" s="25" t="s">
        <v>216</v>
      </c>
      <c r="I151" s="25" t="s">
        <v>80</v>
      </c>
      <c r="J151" s="25" t="s">
        <v>217</v>
      </c>
      <c r="K151" s="36" t="s">
        <v>218</v>
      </c>
      <c r="L151" s="6" t="s">
        <v>224</v>
      </c>
      <c r="M151" s="38"/>
      <c r="N151" s="38"/>
      <c r="O151" s="38"/>
      <c r="P151" s="26"/>
      <c r="Q151" s="78"/>
    </row>
    <row r="152" spans="1:17" ht="101.5" customHeight="1" x14ac:dyDescent="0.35">
      <c r="A152" s="211"/>
      <c r="B152" s="226"/>
      <c r="C152" s="59"/>
      <c r="D152" s="47"/>
      <c r="E152" s="38"/>
      <c r="F152" s="38"/>
      <c r="G152" s="24" t="s">
        <v>221</v>
      </c>
      <c r="H152" s="25" t="s">
        <v>216</v>
      </c>
      <c r="I152" s="25" t="s">
        <v>80</v>
      </c>
      <c r="J152" s="25" t="s">
        <v>217</v>
      </c>
      <c r="K152" s="36" t="s">
        <v>220</v>
      </c>
      <c r="L152" s="6" t="s">
        <v>225</v>
      </c>
      <c r="M152" s="38"/>
      <c r="N152" s="38"/>
      <c r="O152" s="38"/>
      <c r="P152" s="26"/>
      <c r="Q152" s="78"/>
    </row>
    <row r="153" spans="1:17" ht="58" x14ac:dyDescent="0.35">
      <c r="A153" s="211"/>
      <c r="B153" s="226"/>
      <c r="C153" s="59"/>
      <c r="D153" s="47"/>
      <c r="E153" s="38"/>
      <c r="F153" s="38"/>
      <c r="G153" s="24" t="s">
        <v>228</v>
      </c>
      <c r="H153" s="25" t="s">
        <v>216</v>
      </c>
      <c r="I153" s="25" t="s">
        <v>80</v>
      </c>
      <c r="J153" s="25" t="s">
        <v>217</v>
      </c>
      <c r="K153" s="36" t="s">
        <v>223</v>
      </c>
      <c r="L153" s="6" t="s">
        <v>226</v>
      </c>
      <c r="M153" s="38"/>
      <c r="N153" s="38"/>
      <c r="O153" s="38"/>
      <c r="P153" s="26"/>
      <c r="Q153" s="78"/>
    </row>
    <row r="154" spans="1:17" ht="58.5" thickBot="1" x14ac:dyDescent="0.4">
      <c r="A154" s="212"/>
      <c r="B154" s="227"/>
      <c r="C154" s="214"/>
      <c r="D154" s="103"/>
      <c r="E154" s="83"/>
      <c r="F154" s="83"/>
      <c r="G154" s="87" t="s">
        <v>227</v>
      </c>
      <c r="H154" s="81" t="s">
        <v>229</v>
      </c>
      <c r="I154" s="81" t="s">
        <v>80</v>
      </c>
      <c r="J154" s="81" t="s">
        <v>217</v>
      </c>
      <c r="K154" s="178" t="s">
        <v>230</v>
      </c>
      <c r="L154" s="176" t="s">
        <v>231</v>
      </c>
      <c r="M154" s="83"/>
      <c r="N154" s="83"/>
      <c r="O154" s="83"/>
      <c r="P154" s="82"/>
      <c r="Q154" s="126"/>
    </row>
    <row r="155" spans="1:17" ht="101.5" customHeight="1" x14ac:dyDescent="0.35">
      <c r="A155" s="210">
        <v>16</v>
      </c>
      <c r="B155" s="225" t="s">
        <v>249</v>
      </c>
      <c r="C155" s="213">
        <v>1</v>
      </c>
      <c r="D155" s="117" t="s">
        <v>236</v>
      </c>
      <c r="E155" s="94" t="s">
        <v>5</v>
      </c>
      <c r="F155" s="94">
        <v>303.14999999999998</v>
      </c>
      <c r="G155" s="162" t="s">
        <v>244</v>
      </c>
      <c r="H155" s="162" t="s">
        <v>238</v>
      </c>
      <c r="I155" s="118" t="s">
        <v>80</v>
      </c>
      <c r="J155" s="118" t="s">
        <v>240</v>
      </c>
      <c r="K155" s="100">
        <v>81.2</v>
      </c>
      <c r="L155" s="101" t="s">
        <v>241</v>
      </c>
      <c r="M155" s="93" t="s">
        <v>245</v>
      </c>
      <c r="N155" s="179">
        <v>3.3</v>
      </c>
      <c r="O155" s="180" t="s">
        <v>8</v>
      </c>
      <c r="P155" s="117" t="s">
        <v>242</v>
      </c>
      <c r="Q155" s="121" t="s">
        <v>399</v>
      </c>
    </row>
    <row r="156" spans="1:17" ht="43.5" x14ac:dyDescent="0.35">
      <c r="A156" s="211"/>
      <c r="B156" s="226"/>
      <c r="C156" s="59"/>
      <c r="D156" s="47"/>
      <c r="E156" s="44"/>
      <c r="F156" s="44"/>
      <c r="G156" s="24" t="s">
        <v>243</v>
      </c>
      <c r="H156" s="24" t="s">
        <v>238</v>
      </c>
      <c r="I156" s="25" t="s">
        <v>80</v>
      </c>
      <c r="J156" s="25" t="s">
        <v>240</v>
      </c>
      <c r="K156" s="32">
        <v>38.4</v>
      </c>
      <c r="L156" s="6" t="s">
        <v>247</v>
      </c>
      <c r="M156" s="38"/>
      <c r="N156" s="48"/>
      <c r="O156" s="43"/>
      <c r="P156" s="47"/>
      <c r="Q156" s="78"/>
    </row>
    <row r="157" spans="1:17" ht="101.5" customHeight="1" x14ac:dyDescent="0.35">
      <c r="A157" s="211"/>
      <c r="B157" s="226"/>
      <c r="C157" s="59">
        <v>2</v>
      </c>
      <c r="D157" s="47" t="s">
        <v>237</v>
      </c>
      <c r="E157" s="44" t="s">
        <v>5</v>
      </c>
      <c r="F157" s="44">
        <v>303.14999999999998</v>
      </c>
      <c r="G157" s="24" t="s">
        <v>244</v>
      </c>
      <c r="H157" s="24" t="s">
        <v>239</v>
      </c>
      <c r="I157" s="25" t="s">
        <v>80</v>
      </c>
      <c r="J157" s="25" t="s">
        <v>240</v>
      </c>
      <c r="K157" s="32">
        <v>100.1</v>
      </c>
      <c r="L157" s="6" t="s">
        <v>246</v>
      </c>
      <c r="M157" s="38" t="s">
        <v>245</v>
      </c>
      <c r="N157" s="48">
        <v>3.5</v>
      </c>
      <c r="O157" s="43" t="s">
        <v>8</v>
      </c>
      <c r="P157" s="47" t="s">
        <v>242</v>
      </c>
      <c r="Q157" s="78"/>
    </row>
    <row r="158" spans="1:17" ht="44" thickBot="1" x14ac:dyDescent="0.4">
      <c r="A158" s="212"/>
      <c r="B158" s="227"/>
      <c r="C158" s="214"/>
      <c r="D158" s="103"/>
      <c r="E158" s="104"/>
      <c r="F158" s="104"/>
      <c r="G158" s="87" t="s">
        <v>243</v>
      </c>
      <c r="H158" s="87" t="s">
        <v>239</v>
      </c>
      <c r="I158" s="81" t="s">
        <v>80</v>
      </c>
      <c r="J158" s="81" t="s">
        <v>240</v>
      </c>
      <c r="K158" s="84">
        <v>19</v>
      </c>
      <c r="L158" s="176" t="s">
        <v>248</v>
      </c>
      <c r="M158" s="83"/>
      <c r="N158" s="105"/>
      <c r="O158" s="156"/>
      <c r="P158" s="103"/>
      <c r="Q158" s="126"/>
    </row>
    <row r="159" spans="1:17" ht="87" customHeight="1" x14ac:dyDescent="0.35">
      <c r="A159" s="116">
        <v>17</v>
      </c>
      <c r="B159" s="222" t="s">
        <v>306</v>
      </c>
      <c r="C159" s="93">
        <v>1</v>
      </c>
      <c r="D159" s="117" t="s">
        <v>250</v>
      </c>
      <c r="E159" s="94" t="s">
        <v>5</v>
      </c>
      <c r="F159" s="93">
        <v>303.14999999999998</v>
      </c>
      <c r="G159" s="162" t="s">
        <v>252</v>
      </c>
      <c r="H159" s="162" t="s">
        <v>253</v>
      </c>
      <c r="I159" s="162" t="s">
        <v>254</v>
      </c>
      <c r="J159" s="118" t="s">
        <v>240</v>
      </c>
      <c r="K159" s="100">
        <v>0.29199999999999998</v>
      </c>
      <c r="L159" s="99" t="s">
        <v>8</v>
      </c>
      <c r="M159" s="93" t="s">
        <v>245</v>
      </c>
      <c r="N159" s="181" t="s">
        <v>255</v>
      </c>
      <c r="O159" s="93" t="s">
        <v>8</v>
      </c>
      <c r="P159" s="94" t="s">
        <v>251</v>
      </c>
      <c r="Q159" s="121" t="s">
        <v>400</v>
      </c>
    </row>
    <row r="160" spans="1:17" ht="79.5" customHeight="1" x14ac:dyDescent="0.35">
      <c r="A160" s="79"/>
      <c r="B160" s="222"/>
      <c r="C160" s="38"/>
      <c r="D160" s="47"/>
      <c r="E160" s="44"/>
      <c r="F160" s="38"/>
      <c r="G160" s="24" t="s">
        <v>256</v>
      </c>
      <c r="H160" s="24" t="s">
        <v>257</v>
      </c>
      <c r="I160" s="24" t="s">
        <v>254</v>
      </c>
      <c r="J160" s="25" t="s">
        <v>240</v>
      </c>
      <c r="K160" s="32">
        <f>15.69*10^-2</f>
        <v>0.15690000000000001</v>
      </c>
      <c r="L160" s="5" t="s">
        <v>8</v>
      </c>
      <c r="M160" s="38"/>
      <c r="N160" s="50"/>
      <c r="O160" s="38"/>
      <c r="P160" s="44"/>
      <c r="Q160" s="78"/>
    </row>
    <row r="161" spans="1:17" ht="79.5" customHeight="1" x14ac:dyDescent="0.35">
      <c r="A161" s="79"/>
      <c r="B161" s="222"/>
      <c r="C161" s="38"/>
      <c r="D161" s="47"/>
      <c r="E161" s="44"/>
      <c r="F161" s="38"/>
      <c r="G161" s="24" t="s">
        <v>258</v>
      </c>
      <c r="H161" s="24" t="s">
        <v>257</v>
      </c>
      <c r="I161" s="24" t="s">
        <v>254</v>
      </c>
      <c r="J161" s="25" t="s">
        <v>240</v>
      </c>
      <c r="K161" s="32">
        <f>1.98*10^(-2)</f>
        <v>1.9800000000000002E-2</v>
      </c>
      <c r="L161" s="5" t="s">
        <v>8</v>
      </c>
      <c r="M161" s="38"/>
      <c r="N161" s="50"/>
      <c r="O161" s="38"/>
      <c r="P161" s="44"/>
      <c r="Q161" s="78"/>
    </row>
    <row r="162" spans="1:17" ht="79.5" customHeight="1" x14ac:dyDescent="0.35">
      <c r="A162" s="79"/>
      <c r="B162" s="222"/>
      <c r="C162" s="38"/>
      <c r="D162" s="47"/>
      <c r="E162" s="44"/>
      <c r="F162" s="38"/>
      <c r="G162" s="24" t="s">
        <v>259</v>
      </c>
      <c r="H162" s="24" t="s">
        <v>257</v>
      </c>
      <c r="I162" s="24" t="s">
        <v>254</v>
      </c>
      <c r="J162" s="25" t="s">
        <v>240</v>
      </c>
      <c r="K162" s="32">
        <f>5.21*10^(-2)</f>
        <v>5.21E-2</v>
      </c>
      <c r="L162" s="5" t="s">
        <v>8</v>
      </c>
      <c r="M162" s="38"/>
      <c r="N162" s="50"/>
      <c r="O162" s="38"/>
      <c r="P162" s="44"/>
      <c r="Q162" s="78"/>
    </row>
    <row r="163" spans="1:17" ht="79.5" customHeight="1" x14ac:dyDescent="0.35">
      <c r="A163" s="79"/>
      <c r="B163" s="222"/>
      <c r="C163" s="38"/>
      <c r="D163" s="47"/>
      <c r="E163" s="44"/>
      <c r="F163" s="38"/>
      <c r="G163" s="24" t="s">
        <v>260</v>
      </c>
      <c r="H163" s="24" t="s">
        <v>257</v>
      </c>
      <c r="I163" s="24" t="s">
        <v>254</v>
      </c>
      <c r="J163" s="25" t="s">
        <v>240</v>
      </c>
      <c r="K163" s="32">
        <f>4.6*10^(-2)</f>
        <v>4.5999999999999999E-2</v>
      </c>
      <c r="L163" s="5" t="s">
        <v>8</v>
      </c>
      <c r="M163" s="38"/>
      <c r="N163" s="50"/>
      <c r="O163" s="38"/>
      <c r="P163" s="44"/>
      <c r="Q163" s="78"/>
    </row>
    <row r="164" spans="1:17" ht="79.5" customHeight="1" thickBot="1" x14ac:dyDescent="0.4">
      <c r="A164" s="122"/>
      <c r="B164" s="222"/>
      <c r="C164" s="83"/>
      <c r="D164" s="103"/>
      <c r="E164" s="104"/>
      <c r="F164" s="83"/>
      <c r="G164" s="87" t="s">
        <v>261</v>
      </c>
      <c r="H164" s="87" t="s">
        <v>257</v>
      </c>
      <c r="I164" s="87" t="s">
        <v>254</v>
      </c>
      <c r="J164" s="81" t="s">
        <v>240</v>
      </c>
      <c r="K164" s="84">
        <f>2.42*10^(-2)</f>
        <v>2.4199999999999999E-2</v>
      </c>
      <c r="L164" s="85" t="s">
        <v>8</v>
      </c>
      <c r="M164" s="83"/>
      <c r="N164" s="182"/>
      <c r="O164" s="83"/>
      <c r="P164" s="104"/>
      <c r="Q164" s="126"/>
    </row>
    <row r="165" spans="1:17" ht="29" x14ac:dyDescent="0.35">
      <c r="A165" s="116">
        <v>18</v>
      </c>
      <c r="B165" s="94" t="s">
        <v>30</v>
      </c>
      <c r="C165" s="118">
        <v>1</v>
      </c>
      <c r="D165" s="183" t="s">
        <v>366</v>
      </c>
      <c r="E165" s="93"/>
      <c r="F165" s="93"/>
      <c r="G165" s="93"/>
      <c r="H165" s="93"/>
      <c r="I165" s="93"/>
      <c r="J165" s="93"/>
      <c r="K165" s="93"/>
      <c r="L165" s="93"/>
      <c r="M165" s="118" t="s">
        <v>370</v>
      </c>
      <c r="N165" s="100">
        <f>EXP(-(-9.3*10^(3) )/(8.314*298.15))</f>
        <v>42.597113201255461</v>
      </c>
      <c r="O165" s="99" t="s">
        <v>8</v>
      </c>
      <c r="P165" s="177" t="s">
        <v>371</v>
      </c>
      <c r="Q165" s="121" t="s">
        <v>388</v>
      </c>
    </row>
    <row r="166" spans="1:17" ht="29" x14ac:dyDescent="0.35">
      <c r="A166" s="79"/>
      <c r="B166" s="44"/>
      <c r="C166" s="25">
        <v>2</v>
      </c>
      <c r="D166" s="37" t="s">
        <v>367</v>
      </c>
      <c r="E166" s="38"/>
      <c r="F166" s="38"/>
      <c r="G166" s="38"/>
      <c r="H166" s="38"/>
      <c r="I166" s="38"/>
      <c r="J166" s="38"/>
      <c r="K166" s="38"/>
      <c r="L166" s="38"/>
      <c r="M166" s="25" t="s">
        <v>370</v>
      </c>
      <c r="N166" s="32">
        <f>EXP(-(22*10^(3) )/(8.314*298.15))</f>
        <v>1.3981452470307148E-4</v>
      </c>
      <c r="O166" s="5" t="s">
        <v>8</v>
      </c>
      <c r="P166" s="26" t="s">
        <v>371</v>
      </c>
      <c r="Q166" s="80"/>
    </row>
    <row r="167" spans="1:17" ht="29.5" thickBot="1" x14ac:dyDescent="0.4">
      <c r="A167" s="122"/>
      <c r="B167" s="104"/>
      <c r="C167" s="81">
        <v>3</v>
      </c>
      <c r="D167" s="184" t="s">
        <v>368</v>
      </c>
      <c r="E167" s="83"/>
      <c r="F167" s="83"/>
      <c r="G167" s="83"/>
      <c r="H167" s="83"/>
      <c r="I167" s="83"/>
      <c r="J167" s="83"/>
      <c r="K167" s="83"/>
      <c r="L167" s="83"/>
      <c r="M167" s="81" t="s">
        <v>370</v>
      </c>
      <c r="N167" s="84">
        <f>EXP(-(-5.8*10^(3) )/(8.314*298.15))</f>
        <v>10.379407859533641</v>
      </c>
      <c r="O167" s="85" t="s">
        <v>8</v>
      </c>
      <c r="P167" s="82" t="s">
        <v>371</v>
      </c>
      <c r="Q167" s="185"/>
    </row>
    <row r="168" spans="1:17" ht="58" customHeight="1" thickBot="1" x14ac:dyDescent="0.4">
      <c r="A168" s="194">
        <v>19</v>
      </c>
      <c r="B168" s="195" t="s">
        <v>372</v>
      </c>
      <c r="C168" s="196">
        <v>1</v>
      </c>
      <c r="D168" s="197" t="s">
        <v>373</v>
      </c>
      <c r="E168" s="196" t="s">
        <v>11</v>
      </c>
      <c r="F168" s="196">
        <v>298.14999999999998</v>
      </c>
      <c r="G168" s="195" t="s">
        <v>374</v>
      </c>
      <c r="H168" s="195" t="s">
        <v>375</v>
      </c>
      <c r="I168" s="196" t="s">
        <v>289</v>
      </c>
      <c r="J168" s="196" t="s">
        <v>217</v>
      </c>
      <c r="K168" s="198">
        <v>91.61</v>
      </c>
      <c r="L168" s="199" t="s">
        <v>376</v>
      </c>
      <c r="M168" s="196" t="s">
        <v>369</v>
      </c>
      <c r="N168" s="198" t="s">
        <v>377</v>
      </c>
      <c r="O168" s="199" t="s">
        <v>378</v>
      </c>
      <c r="P168" s="197"/>
      <c r="Q168" s="200" t="s">
        <v>8</v>
      </c>
    </row>
    <row r="169" spans="1:17" ht="58.5" thickBot="1" x14ac:dyDescent="0.4">
      <c r="A169" s="186">
        <v>20</v>
      </c>
      <c r="B169" s="189" t="s">
        <v>382</v>
      </c>
      <c r="C169" s="187">
        <v>1</v>
      </c>
      <c r="D169" s="188" t="s">
        <v>380</v>
      </c>
      <c r="E169" s="187" t="s">
        <v>5</v>
      </c>
      <c r="F169" s="187">
        <v>298.14999999999998</v>
      </c>
      <c r="G169" s="189" t="s">
        <v>379</v>
      </c>
      <c r="H169" s="190"/>
      <c r="I169" s="190"/>
      <c r="J169" s="187" t="s">
        <v>217</v>
      </c>
      <c r="K169" s="191">
        <v>18.53</v>
      </c>
      <c r="L169" s="192" t="s">
        <v>8</v>
      </c>
      <c r="M169" s="190"/>
      <c r="N169" s="190"/>
      <c r="O169" s="190"/>
      <c r="P169" s="188" t="s">
        <v>381</v>
      </c>
      <c r="Q169" s="193" t="s">
        <v>8</v>
      </c>
    </row>
  </sheetData>
  <autoFilter ref="A3:Q164" xr:uid="{93088403-D190-4CD9-8747-6A7CDB265248}">
    <filterColumn colId="7" showButton="0"/>
    <filterColumn colId="9" showButton="0"/>
    <filterColumn colId="10" showButton="0"/>
    <filterColumn colId="12" showButton="0"/>
    <filterColumn colId="13" showButton="0"/>
  </autoFilter>
  <mergeCells count="262">
    <mergeCell ref="Q2:Q3"/>
    <mergeCell ref="H32:L34"/>
    <mergeCell ref="Q79:Q96"/>
    <mergeCell ref="Q97:Q101"/>
    <mergeCell ref="Q102:Q106"/>
    <mergeCell ref="Q107:Q142"/>
    <mergeCell ref="Q143:Q149"/>
    <mergeCell ref="Q150:Q154"/>
    <mergeCell ref="Q155:Q158"/>
    <mergeCell ref="Q159:Q164"/>
    <mergeCell ref="Q165:Q167"/>
    <mergeCell ref="Q4:Q18"/>
    <mergeCell ref="Q19:Q28"/>
    <mergeCell ref="Q29:Q31"/>
    <mergeCell ref="Q32:Q34"/>
    <mergeCell ref="Q35:Q41"/>
    <mergeCell ref="Q42:Q51"/>
    <mergeCell ref="Q52:Q69"/>
    <mergeCell ref="Q70:Q73"/>
    <mergeCell ref="Q74:Q78"/>
    <mergeCell ref="N52:N57"/>
    <mergeCell ref="O52:O57"/>
    <mergeCell ref="M58:M63"/>
    <mergeCell ref="N58:N63"/>
    <mergeCell ref="O58:O63"/>
    <mergeCell ref="F64:F69"/>
    <mergeCell ref="F79:F87"/>
    <mergeCell ref="E79:E96"/>
    <mergeCell ref="D79:D96"/>
    <mergeCell ref="G79:G91"/>
    <mergeCell ref="F88:F95"/>
    <mergeCell ref="D52:D69"/>
    <mergeCell ref="G52:G69"/>
    <mergeCell ref="E52:E69"/>
    <mergeCell ref="G70:G73"/>
    <mergeCell ref="F70:F73"/>
    <mergeCell ref="E70:E73"/>
    <mergeCell ref="D70:D73"/>
    <mergeCell ref="C4:C8"/>
    <mergeCell ref="D4:D8"/>
    <mergeCell ref="E4:E8"/>
    <mergeCell ref="F4:F8"/>
    <mergeCell ref="G4:G8"/>
    <mergeCell ref="P42:P51"/>
    <mergeCell ref="G42:G51"/>
    <mergeCell ref="F42:F51"/>
    <mergeCell ref="E42:E51"/>
    <mergeCell ref="D42:D51"/>
    <mergeCell ref="C42:C51"/>
    <mergeCell ref="D19:D28"/>
    <mergeCell ref="C19:C28"/>
    <mergeCell ref="J29:J31"/>
    <mergeCell ref="P32:P34"/>
    <mergeCell ref="N35:N37"/>
    <mergeCell ref="O35:O37"/>
    <mergeCell ref="P35:P37"/>
    <mergeCell ref="N38:N39"/>
    <mergeCell ref="O38:O39"/>
    <mergeCell ref="J48:J49"/>
    <mergeCell ref="K48:K49"/>
    <mergeCell ref="L48:L49"/>
    <mergeCell ref="J50:J51"/>
    <mergeCell ref="K50:K51"/>
    <mergeCell ref="L50:L51"/>
    <mergeCell ref="M42:M51"/>
    <mergeCell ref="N42:N51"/>
    <mergeCell ref="O42:O51"/>
    <mergeCell ref="J42:J43"/>
    <mergeCell ref="K42:K43"/>
    <mergeCell ref="L42:L43"/>
    <mergeCell ref="J44:J45"/>
    <mergeCell ref="K44:K45"/>
    <mergeCell ref="L44:L45"/>
    <mergeCell ref="J46:J47"/>
    <mergeCell ref="K46:K47"/>
    <mergeCell ref="L46:L47"/>
    <mergeCell ref="P52:P69"/>
    <mergeCell ref="M64:M69"/>
    <mergeCell ref="N64:N69"/>
    <mergeCell ref="O64:O69"/>
    <mergeCell ref="M52:M57"/>
    <mergeCell ref="B19:B28"/>
    <mergeCell ref="A19:A28"/>
    <mergeCell ref="A2:A3"/>
    <mergeCell ref="D2:D3"/>
    <mergeCell ref="N23:N28"/>
    <mergeCell ref="O23:O28"/>
    <mergeCell ref="P19:P22"/>
    <mergeCell ref="P23:P28"/>
    <mergeCell ref="E16:E18"/>
    <mergeCell ref="F16:F18"/>
    <mergeCell ref="G16:G18"/>
    <mergeCell ref="M16:M18"/>
    <mergeCell ref="F19:F22"/>
    <mergeCell ref="G19:G28"/>
    <mergeCell ref="F23:F28"/>
    <mergeCell ref="E19:E28"/>
    <mergeCell ref="M19:M22"/>
    <mergeCell ref="M23:M28"/>
    <mergeCell ref="E2:E3"/>
    <mergeCell ref="G2:G3"/>
    <mergeCell ref="D16:D18"/>
    <mergeCell ref="B2:B3"/>
    <mergeCell ref="H2:I3"/>
    <mergeCell ref="P2:P3"/>
    <mergeCell ref="A143:A149"/>
    <mergeCell ref="M151:O154"/>
    <mergeCell ref="E150:E154"/>
    <mergeCell ref="F150:F154"/>
    <mergeCell ref="D150:D154"/>
    <mergeCell ref="A150:A154"/>
    <mergeCell ref="B143:B149"/>
    <mergeCell ref="B150:B154"/>
    <mergeCell ref="P102:P106"/>
    <mergeCell ref="A102:A106"/>
    <mergeCell ref="B107:B142"/>
    <mergeCell ref="M107:O126"/>
    <mergeCell ref="M127:O142"/>
    <mergeCell ref="C143:C149"/>
    <mergeCell ref="C150:C154"/>
    <mergeCell ref="P143:P149"/>
    <mergeCell ref="G143:G149"/>
    <mergeCell ref="F143:F147"/>
    <mergeCell ref="E143:E149"/>
    <mergeCell ref="D143:D149"/>
    <mergeCell ref="G127:G142"/>
    <mergeCell ref="F127:F142"/>
    <mergeCell ref="E127:E142"/>
    <mergeCell ref="D127:D142"/>
    <mergeCell ref="H101:L101"/>
    <mergeCell ref="F102:F105"/>
    <mergeCell ref="G102:G106"/>
    <mergeCell ref="D102:D106"/>
    <mergeCell ref="E102:E106"/>
    <mergeCell ref="F97:F100"/>
    <mergeCell ref="G97:G101"/>
    <mergeCell ref="D97:D101"/>
    <mergeCell ref="E97:E101"/>
    <mergeCell ref="M74:M78"/>
    <mergeCell ref="N74:N78"/>
    <mergeCell ref="O74:O78"/>
    <mergeCell ref="P74:P78"/>
    <mergeCell ref="P70:P73"/>
    <mergeCell ref="M79:M87"/>
    <mergeCell ref="N79:N87"/>
    <mergeCell ref="O79:O87"/>
    <mergeCell ref="P79:P96"/>
    <mergeCell ref="N88:N91"/>
    <mergeCell ref="O88:O91"/>
    <mergeCell ref="N92:O96"/>
    <mergeCell ref="M2:O3"/>
    <mergeCell ref="N16:N18"/>
    <mergeCell ref="O16:O18"/>
    <mergeCell ref="P16:P18"/>
    <mergeCell ref="N19:N22"/>
    <mergeCell ref="O19:O22"/>
    <mergeCell ref="J2:L3"/>
    <mergeCell ref="A29:A31"/>
    <mergeCell ref="E32:E34"/>
    <mergeCell ref="F32:F34"/>
    <mergeCell ref="A32:A34"/>
    <mergeCell ref="D29:D31"/>
    <mergeCell ref="E29:E31"/>
    <mergeCell ref="G29:G31"/>
    <mergeCell ref="B29:B31"/>
    <mergeCell ref="B32:B34"/>
    <mergeCell ref="B4:B18"/>
    <mergeCell ref="A4:A18"/>
    <mergeCell ref="C16:C18"/>
    <mergeCell ref="C2:C3"/>
    <mergeCell ref="F9:F15"/>
    <mergeCell ref="G9:G15"/>
    <mergeCell ref="P4:P8"/>
    <mergeCell ref="P9:P15"/>
    <mergeCell ref="E35:E41"/>
    <mergeCell ref="B35:B41"/>
    <mergeCell ref="A35:A41"/>
    <mergeCell ref="B97:B101"/>
    <mergeCell ref="B102:B106"/>
    <mergeCell ref="A97:A101"/>
    <mergeCell ref="B42:B51"/>
    <mergeCell ref="A42:A51"/>
    <mergeCell ref="F52:F57"/>
    <mergeCell ref="F58:F63"/>
    <mergeCell ref="C79:C96"/>
    <mergeCell ref="B79:B96"/>
    <mergeCell ref="A79:A96"/>
    <mergeCell ref="C52:C69"/>
    <mergeCell ref="B52:B69"/>
    <mergeCell ref="A52:A69"/>
    <mergeCell ref="C70:C73"/>
    <mergeCell ref="B70:B73"/>
    <mergeCell ref="B74:B78"/>
    <mergeCell ref="P38:P39"/>
    <mergeCell ref="B155:B158"/>
    <mergeCell ref="B159:B164"/>
    <mergeCell ref="A159:A164"/>
    <mergeCell ref="E159:E164"/>
    <mergeCell ref="D159:D164"/>
    <mergeCell ref="F159:F164"/>
    <mergeCell ref="M159:M164"/>
    <mergeCell ref="N159:N164"/>
    <mergeCell ref="O159:O164"/>
    <mergeCell ref="N155:N156"/>
    <mergeCell ref="C155:C156"/>
    <mergeCell ref="C157:C158"/>
    <mergeCell ref="C159:C164"/>
    <mergeCell ref="A155:A158"/>
    <mergeCell ref="A107:A142"/>
    <mergeCell ref="A74:A78"/>
    <mergeCell ref="E74:E78"/>
    <mergeCell ref="F74:F78"/>
    <mergeCell ref="D74:D78"/>
    <mergeCell ref="F35:F39"/>
    <mergeCell ref="A70:A73"/>
    <mergeCell ref="D35:D41"/>
    <mergeCell ref="C35:C41"/>
    <mergeCell ref="D9:D15"/>
    <mergeCell ref="E9:E15"/>
    <mergeCell ref="P157:P158"/>
    <mergeCell ref="P159:P164"/>
    <mergeCell ref="D155:D156"/>
    <mergeCell ref="E155:E156"/>
    <mergeCell ref="F155:F156"/>
    <mergeCell ref="D157:D158"/>
    <mergeCell ref="E157:E158"/>
    <mergeCell ref="F157:F158"/>
    <mergeCell ref="M155:M156"/>
    <mergeCell ref="M157:M158"/>
    <mergeCell ref="N157:N158"/>
    <mergeCell ref="O157:O158"/>
    <mergeCell ref="G107:G126"/>
    <mergeCell ref="F107:F126"/>
    <mergeCell ref="E107:E126"/>
    <mergeCell ref="D107:D126"/>
    <mergeCell ref="M35:M39"/>
    <mergeCell ref="G35:G38"/>
    <mergeCell ref="G40:G41"/>
    <mergeCell ref="M97:M100"/>
    <mergeCell ref="N97:N100"/>
    <mergeCell ref="O97:O100"/>
    <mergeCell ref="E165:L167"/>
    <mergeCell ref="A165:A167"/>
    <mergeCell ref="B165:B167"/>
    <mergeCell ref="M169:O169"/>
    <mergeCell ref="H169:I169"/>
    <mergeCell ref="M40:P41"/>
    <mergeCell ref="C74:C78"/>
    <mergeCell ref="O155:O156"/>
    <mergeCell ref="C29:C31"/>
    <mergeCell ref="H29:H31"/>
    <mergeCell ref="I29:I31"/>
    <mergeCell ref="C32:C34"/>
    <mergeCell ref="C97:C101"/>
    <mergeCell ref="C102:C106"/>
    <mergeCell ref="C107:C126"/>
    <mergeCell ref="C127:C142"/>
    <mergeCell ref="P155:P156"/>
    <mergeCell ref="P29:P31"/>
    <mergeCell ref="M29:M31"/>
    <mergeCell ref="M32:M34"/>
    <mergeCell ref="C9:C15"/>
  </mergeCells>
  <hyperlinks>
    <hyperlink ref="Q29" r:id="rId1" xr:uid="{E817C5EE-F487-4229-A296-55BE7B2FEA00}"/>
    <hyperlink ref="Q32" r:id="rId2" xr:uid="{7B93360E-9AD8-46A9-B2F9-0D984F6F70AC}"/>
    <hyperlink ref="Q35" r:id="rId3" xr:uid="{2B23FBBC-021B-434A-9AB1-91CCCA698EB4}"/>
    <hyperlink ref="Q42" r:id="rId4" xr:uid="{2D122740-3D17-4EEA-8AF7-43F2FF254F70}"/>
    <hyperlink ref="Q52" r:id="rId5" xr:uid="{78E6E222-E866-4ADA-9AA3-D8E166EAED6E}"/>
    <hyperlink ref="Q74" r:id="rId6" xr:uid="{5218C041-D97C-49BB-8B65-D6B30E95E3A4}"/>
    <hyperlink ref="Q79" r:id="rId7" xr:uid="{1F2453FC-8619-42CA-A667-B922425547AD}"/>
    <hyperlink ref="Q159" r:id="rId8" xr:uid="{FE54812F-A2EB-40C8-8B5E-3AAEC8E97AC1}"/>
    <hyperlink ref="Q165" r:id="rId9" xr:uid="{6757D94A-50B0-4763-9B3B-DAED6F4EAC8D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Bhutani</dc:creator>
  <cp:lastModifiedBy>Sarthak Bhutani</cp:lastModifiedBy>
  <dcterms:created xsi:type="dcterms:W3CDTF">2021-05-06T07:30:09Z</dcterms:created>
  <dcterms:modified xsi:type="dcterms:W3CDTF">2021-06-06T14:13:11Z</dcterms:modified>
</cp:coreProperties>
</file>