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or" sheetId="1" r:id="rId4"/>
    <sheet state="visible" name="ref_calculations" sheetId="2" r:id="rId5"/>
    <sheet state="visible" name="core_properties" sheetId="3" r:id="rId6"/>
  </sheets>
  <definedNames/>
  <calcPr/>
</workbook>
</file>

<file path=xl/sharedStrings.xml><?xml version="1.0" encoding="utf-8"?>
<sst xmlns="http://schemas.openxmlformats.org/spreadsheetml/2006/main" count="106" uniqueCount="52">
  <si>
    <t xml:space="preserve">v1 Genesis </t>
  </si>
  <si>
    <t>time</t>
  </si>
  <si>
    <t>time (x2)</t>
  </si>
  <si>
    <t>block</t>
  </si>
  <si>
    <t>seconds</t>
  </si>
  <si>
    <t>seconds/day</t>
  </si>
  <si>
    <t>blocks/day</t>
  </si>
  <si>
    <t>days/year</t>
  </si>
  <si>
    <t>seconds/year</t>
  </si>
  <si>
    <t>blocks/year</t>
  </si>
  <si>
    <t>block reward</t>
  </si>
  <si>
    <t>Epoch</t>
  </si>
  <si>
    <t>halving per year</t>
  </si>
  <si>
    <t>Ethereum Yellow Paper</t>
  </si>
  <si>
    <t xml:space="preserve">EDI </t>
  </si>
  <si>
    <t>GxdataZero</t>
  </si>
  <si>
    <t>size (in bytes)</t>
  </si>
  <si>
    <t>transaction cost</t>
  </si>
  <si>
    <t>GxdataNonZero</t>
  </si>
  <si>
    <t>GxminTransaction</t>
  </si>
  <si>
    <t>genesis file</t>
  </si>
  <si>
    <t>gas limit per block (decimal)</t>
  </si>
  <si>
    <t>edi tx's per block</t>
  </si>
  <si>
    <t>per year</t>
  </si>
  <si>
    <t>max tx's per year per 1 token</t>
  </si>
  <si>
    <t>gas limit</t>
  </si>
  <si>
    <t>0xa00000</t>
  </si>
  <si>
    <t>checking gas limit</t>
  </si>
  <si>
    <t xml:space="preserve">EDI = </t>
  </si>
  <si>
    <t>sources</t>
  </si>
  <si>
    <t>evm opcodes</t>
  </si>
  <si>
    <t>https://github.com/nsward/evm-opcodes</t>
  </si>
  <si>
    <t>ethereum yellow paper</t>
  </si>
  <si>
    <t>http://gavwood.com/paper.pdf</t>
  </si>
  <si>
    <t>freight trust genesis file</t>
  </si>
  <si>
    <t>https://github.com/freight-chain/node/blob/master/genesis.json</t>
  </si>
  <si>
    <t>edi transaction standard</t>
  </si>
  <si>
    <t>https://gist.github.com/sambacha/3bccb5af0dc834254df0935ba9cedb9c</t>
  </si>
  <si>
    <t xml:space="preserve">Network Size per Year </t>
  </si>
  <si>
    <t>bytes</t>
  </si>
  <si>
    <t>gigabytes</t>
  </si>
  <si>
    <t>block gas limit</t>
  </si>
  <si>
    <t>EDI X12 4010 Transaction Size (in bytes)</t>
  </si>
  <si>
    <t>EDI X12 4010 Transaction Cost (in gwei)</t>
  </si>
  <si>
    <t>Network Size per Year, bytes</t>
  </si>
  <si>
    <t>Network Size per Year, gigabytes</t>
  </si>
  <si>
    <t>Gwei/Gas limit per block (decimal)</t>
  </si>
  <si>
    <t>EDI X12 4010 Transaction Sets, throughput</t>
  </si>
  <si>
    <t>key</t>
  </si>
  <si>
    <t>value</t>
  </si>
  <si>
    <t>EDI X12 Transactions Per Block</t>
  </si>
  <si>
    <t>Total Float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</si>
</sst>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1.0"/>
      <name val="Arial"/>
    </font>
    <font>
      <sz val="11.0"/>
      <color theme="1"/>
      <name val="Arial"/>
    </font>
    <font>
      <color theme="1"/>
      <name val="Arial"/>
    </font>
    <font>
      <name val="Arial"/>
    </font>
    <font>
      <sz val="11.0"/>
      <color rgb="FF222222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rgb="FF032F62"/>
      <name val="Arial"/>
    </font>
    <font>
      <b/>
      <sz val="11.0"/>
      <color rgb="FF555555"/>
      <name val="Arial"/>
    </font>
    <font>
      <sz val="6.0"/>
      <color theme="1"/>
      <name val="Arial"/>
    </font>
    <font>
      <u/>
      <sz val="6.0"/>
      <color rgb="FF1155CC"/>
      <name val="Arial"/>
    </font>
    <font>
      <u/>
      <sz val="6.0"/>
      <color rgb="FF1155CC"/>
      <name val="Arial"/>
    </font>
    <font>
      <sz val="10.0"/>
      <name val="Roboto Mono"/>
    </font>
    <font>
      <sz val="10.0"/>
      <color theme="1"/>
      <name val="Roboto Mono"/>
    </font>
    <font>
      <sz val="10.0"/>
      <color theme="1"/>
      <name val="Arial"/>
    </font>
    <font>
      <u/>
      <sz val="10.0"/>
      <color rgb="FF0000FF"/>
      <name val="Roboto Mono"/>
    </font>
    <font>
      <u/>
      <sz val="10.0"/>
      <color rgb="FF0000FF"/>
      <name val="Roboto Mono"/>
    </font>
    <font>
      <sz val="11.0"/>
      <color rgb="FF1155CC"/>
      <name val="Inconsolata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0EE90"/>
        <bgColor rgb="FF90EE9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4" fontId="2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5" fontId="2" numFmtId="0" xfId="0" applyAlignment="1" applyFill="1" applyFont="1">
      <alignment horizontal="right" vertical="bottom"/>
    </xf>
    <xf borderId="0" fillId="6" fontId="2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7" fontId="3" numFmtId="0" xfId="0" applyAlignment="1" applyFont="1">
      <alignment vertical="bottom"/>
    </xf>
    <xf borderId="0" fillId="6" fontId="2" numFmtId="0" xfId="0" applyAlignment="1" applyFont="1">
      <alignment horizontal="right" vertical="bottom"/>
    </xf>
    <xf borderId="0" fillId="7" fontId="7" numFmtId="3" xfId="0" applyAlignment="1" applyFont="1" applyNumberFormat="1">
      <alignment horizontal="right" vertical="bottom"/>
    </xf>
    <xf borderId="0" fillId="7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1" fillId="0" fontId="6" numFmtId="0" xfId="0" applyAlignment="1" applyBorder="1" applyFont="1">
      <alignment shrinkToFit="0" vertical="bottom" wrapText="0"/>
    </xf>
    <xf borderId="0" fillId="3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8" fontId="2" numFmtId="0" xfId="0" applyAlignment="1" applyBorder="1" applyFill="1" applyFont="1">
      <alignment horizontal="right" vertical="bottom"/>
    </xf>
    <xf borderId="1" fillId="8" fontId="2" numFmtId="3" xfId="0" applyAlignment="1" applyBorder="1" applyFont="1" applyNumberFormat="1">
      <alignment horizontal="right" vertical="bottom"/>
    </xf>
    <xf borderId="0" fillId="5" fontId="2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5" fontId="11" numFmtId="0" xfId="0" applyAlignment="1" applyFont="1">
      <alignment vertical="bottom"/>
    </xf>
    <xf borderId="0" fillId="9" fontId="3" numFmtId="0" xfId="0" applyAlignment="1" applyFill="1" applyFont="1">
      <alignment vertical="bottom"/>
    </xf>
    <xf borderId="1" fillId="5" fontId="12" numFmtId="0" xfId="0" applyAlignment="1" applyBorder="1" applyFont="1">
      <alignment shrinkToFit="0" vertical="bottom" wrapText="0"/>
    </xf>
    <xf borderId="1" fillId="7" fontId="2" numFmtId="0" xfId="0" applyAlignment="1" applyBorder="1" applyFont="1">
      <alignment shrinkToFit="0" vertical="bottom" wrapText="0"/>
    </xf>
    <xf borderId="0" fillId="10" fontId="2" numFmtId="0" xfId="0" applyAlignment="1" applyFill="1" applyFont="1">
      <alignment vertical="bottom"/>
    </xf>
    <xf borderId="0" fillId="10" fontId="2" numFmtId="0" xfId="0" applyAlignment="1" applyFont="1">
      <alignment horizontal="right" vertical="bottom"/>
    </xf>
    <xf borderId="0" fillId="10" fontId="3" numFmtId="0" xfId="0" applyAlignment="1" applyFont="1">
      <alignment vertical="bottom"/>
    </xf>
    <xf borderId="0" fillId="0" fontId="13" numFmtId="0" xfId="0" applyAlignment="1" applyFont="1">
      <alignment horizontal="left" vertical="bottom"/>
    </xf>
    <xf borderId="0" fillId="0" fontId="13" numFmtId="0" xfId="0" applyAlignment="1" applyFont="1">
      <alignment horizontal="left"/>
    </xf>
    <xf borderId="0" fillId="0" fontId="14" numFmtId="0" xfId="0" applyAlignment="1" applyFont="1">
      <alignment horizontal="left" vertical="bottom"/>
    </xf>
    <xf borderId="0" fillId="0" fontId="13" numFmtId="3" xfId="0" applyAlignment="1" applyFont="1" applyNumberFormat="1">
      <alignment horizontal="left" vertical="bottom"/>
    </xf>
    <xf borderId="0" fillId="0" fontId="14" numFmtId="3" xfId="0" applyAlignment="1" applyFont="1" applyNumberFormat="1">
      <alignment horizontal="left" vertical="bottom"/>
    </xf>
    <xf borderId="0" fillId="0" fontId="13" numFmtId="0" xfId="0" applyAlignment="1" applyFont="1">
      <alignment horizontal="left" readingOrder="0" vertical="bottom"/>
    </xf>
    <xf borderId="0" fillId="0" fontId="13" numFmtId="0" xfId="0" applyAlignment="1" applyFont="1">
      <alignment horizontal="left" shrinkToFit="0" vertical="bottom" wrapText="0"/>
    </xf>
    <xf borderId="0" fillId="0" fontId="15" numFmtId="0" xfId="0" applyFont="1"/>
    <xf borderId="0" fillId="0" fontId="13" numFmtId="0" xfId="0" applyAlignment="1" applyFont="1">
      <alignment horizontal="left" readingOrder="0" shrinkToFit="0" vertical="bottom" wrapText="0"/>
    </xf>
    <xf borderId="0" fillId="0" fontId="16" numFmtId="0" xfId="0" applyAlignment="1" applyFont="1">
      <alignment horizontal="left" vertical="bottom"/>
    </xf>
    <xf borderId="0" fillId="0" fontId="17" numFmtId="0" xfId="0" applyAlignment="1" applyFont="1">
      <alignment horizontal="left" shrinkToFit="0" vertical="bottom" wrapText="0"/>
    </xf>
    <xf borderId="0" fillId="3" fontId="18" numFmtId="0" xfId="0" applyAlignment="1" applyFont="1">
      <alignment readingOrder="0"/>
    </xf>
    <xf borderId="0" fillId="0" fontId="14" numFmtId="0" xfId="0" applyAlignment="1" applyFont="1">
      <alignment horizontal="left" shrinkToFit="0" vertical="bottom" wrapText="0"/>
    </xf>
    <xf borderId="0" fillId="0" fontId="14" numFmtId="0" xfId="0" applyAlignment="1" applyFont="1">
      <alignment horizontal="left" readingOrder="0" vertical="bottom"/>
    </xf>
    <xf borderId="0" fillId="0" fontId="3" numFmtId="0" xfId="0" applyAlignment="1" applyFont="1">
      <alignment readingOrder="0"/>
    </xf>
    <xf borderId="0" fillId="3" fontId="19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sward/evm-opcodes" TargetMode="External"/><Relationship Id="rId2" Type="http://schemas.openxmlformats.org/officeDocument/2006/relationships/hyperlink" Target="http://gavwood.com/paper.pdf" TargetMode="External"/><Relationship Id="rId3" Type="http://schemas.openxmlformats.org/officeDocument/2006/relationships/hyperlink" Target="https://github.com/freight-chain/node/blob/master/genesis.json" TargetMode="External"/><Relationship Id="rId4" Type="http://schemas.openxmlformats.org/officeDocument/2006/relationships/hyperlink" Target="https://gist.github.com/sambacha/3bccb5af0dc834254df0935ba9cedb9c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sward/evm-opcodes" TargetMode="External"/><Relationship Id="rId2" Type="http://schemas.openxmlformats.org/officeDocument/2006/relationships/hyperlink" Target="http://gavwood.com/paper.pdf" TargetMode="External"/><Relationship Id="rId3" Type="http://schemas.openxmlformats.org/officeDocument/2006/relationships/hyperlink" Target="https://gist.github.com/sambacha/3bccb5af0dc834254df0935ba9cedb9c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/>
      <c r="B2" s="3"/>
      <c r="C2" s="3"/>
      <c r="D2" s="3"/>
      <c r="E2" s="3"/>
      <c r="F2" s="3"/>
      <c r="G2" s="3"/>
      <c r="H2" s="3"/>
      <c r="I2" s="3"/>
      <c r="J2" s="3"/>
      <c r="K2" s="2" t="s">
        <v>1</v>
      </c>
      <c r="L2" s="2" t="s">
        <v>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3"/>
      <c r="C3" s="3"/>
      <c r="D3" s="3"/>
      <c r="E3" s="3"/>
      <c r="F3" s="3"/>
      <c r="G3" s="3"/>
      <c r="H3" s="3"/>
      <c r="I3" s="3"/>
      <c r="J3" s="3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/>
      <c r="B4" s="4" t="s">
        <v>3</v>
      </c>
      <c r="C4" s="4" t="s">
        <v>4</v>
      </c>
      <c r="D4" s="4"/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5">
        <v>2.0</v>
      </c>
      <c r="L4" s="5">
        <v>4.0</v>
      </c>
      <c r="M4" s="3"/>
      <c r="N4" s="6"/>
      <c r="O4" s="6"/>
      <c r="P4" s="6"/>
      <c r="Q4" s="6"/>
      <c r="R4" s="6"/>
      <c r="S4" s="6"/>
      <c r="T4" s="6"/>
      <c r="U4" s="6"/>
      <c r="V4" s="3"/>
      <c r="W4" s="3"/>
      <c r="X4" s="3"/>
      <c r="Y4" s="3"/>
      <c r="Z4" s="3"/>
    </row>
    <row r="5">
      <c r="A5" s="2"/>
      <c r="B5" s="5">
        <v>1.0</v>
      </c>
      <c r="C5" s="5">
        <v>10.0</v>
      </c>
      <c r="D5" s="3"/>
      <c r="E5" s="5">
        <v>86400.0</v>
      </c>
      <c r="F5" s="5">
        <f>sum(86400/10)</f>
        <v>8640</v>
      </c>
      <c r="G5" s="7">
        <v>365.2425</v>
      </c>
      <c r="H5" s="5">
        <f>sum(G5*E5)</f>
        <v>31556952</v>
      </c>
      <c r="I5" s="5">
        <f>sum(H5/10)</f>
        <v>3155695.2</v>
      </c>
      <c r="J5" s="5">
        <v>10.0</v>
      </c>
      <c r="K5" s="5">
        <f>sum(I5*2)</f>
        <v>6311390.4</v>
      </c>
      <c r="L5" s="3"/>
      <c r="M5" s="8" t="s">
        <v>11</v>
      </c>
      <c r="N5" s="6"/>
      <c r="O5" s="6"/>
      <c r="P5" s="6"/>
      <c r="Q5" s="6"/>
      <c r="R5" s="6"/>
      <c r="S5" s="6"/>
      <c r="T5" s="6"/>
      <c r="U5" s="6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9" t="s">
        <v>12</v>
      </c>
      <c r="J6" s="3"/>
      <c r="K6" s="3"/>
      <c r="L6" s="5">
        <f>sum(I10/2)</f>
        <v>1972309.5</v>
      </c>
      <c r="M6" s="10">
        <v>5.0</v>
      </c>
      <c r="N6" s="11"/>
      <c r="O6" s="12"/>
      <c r="P6" s="6"/>
      <c r="Q6" s="12"/>
      <c r="R6" s="6"/>
      <c r="S6" s="6"/>
      <c r="T6" s="6"/>
      <c r="U6" s="6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10">
        <v>1.0</v>
      </c>
      <c r="I7" s="5">
        <f>sum(I5*10)</f>
        <v>31556952</v>
      </c>
      <c r="J7" s="13">
        <f t="shared" ref="J7:J11" si="1">sum(I7*0.15)</f>
        <v>4733542.8</v>
      </c>
      <c r="K7" s="3"/>
      <c r="L7" s="5">
        <f t="shared" ref="L7:L41" si="2">sum(L6/2)</f>
        <v>986154.75</v>
      </c>
      <c r="M7" s="10">
        <v>6.0</v>
      </c>
      <c r="N7" s="11"/>
      <c r="O7" s="12"/>
      <c r="P7" s="6"/>
      <c r="Q7" s="12"/>
      <c r="R7" s="6"/>
      <c r="S7" s="6"/>
      <c r="T7" s="6"/>
      <c r="U7" s="6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10">
        <v>2.0</v>
      </c>
      <c r="I8" s="5">
        <f t="shared" ref="I8:I10" si="3">sum(I7/2)</f>
        <v>15778476</v>
      </c>
      <c r="J8" s="13">
        <f t="shared" si="1"/>
        <v>2366771.4</v>
      </c>
      <c r="K8" s="3"/>
      <c r="L8" s="5">
        <f t="shared" si="2"/>
        <v>493077.375</v>
      </c>
      <c r="M8" s="10">
        <v>7.0</v>
      </c>
      <c r="N8" s="11"/>
      <c r="O8" s="12"/>
      <c r="P8" s="6"/>
      <c r="Q8" s="6"/>
      <c r="R8" s="6"/>
      <c r="S8" s="6"/>
      <c r="T8" s="6"/>
      <c r="U8" s="6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10">
        <v>3.0</v>
      </c>
      <c r="I9" s="5">
        <f t="shared" si="3"/>
        <v>7889238</v>
      </c>
      <c r="J9" s="13">
        <f t="shared" si="1"/>
        <v>1183385.7</v>
      </c>
      <c r="K9" s="3"/>
      <c r="L9" s="5">
        <f t="shared" si="2"/>
        <v>246538.6875</v>
      </c>
      <c r="M9" s="10">
        <v>8.0</v>
      </c>
      <c r="N9" s="11"/>
      <c r="O9" s="12"/>
      <c r="P9" s="6"/>
      <c r="Q9" s="6"/>
      <c r="R9" s="6"/>
      <c r="S9" s="6"/>
      <c r="T9" s="6"/>
      <c r="U9" s="6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10">
        <v>4.0</v>
      </c>
      <c r="I10" s="5">
        <f t="shared" si="3"/>
        <v>3944619</v>
      </c>
      <c r="J10" s="13">
        <f t="shared" si="1"/>
        <v>591692.85</v>
      </c>
      <c r="K10" s="3"/>
      <c r="L10" s="5">
        <f t="shared" si="2"/>
        <v>123269.3438</v>
      </c>
      <c r="M10" s="10">
        <v>9.0</v>
      </c>
      <c r="N10" s="11"/>
      <c r="O10" s="12"/>
      <c r="P10" s="6"/>
      <c r="Q10" s="6"/>
      <c r="R10" s="6"/>
      <c r="S10" s="6"/>
      <c r="T10" s="6"/>
      <c r="U10" s="6"/>
      <c r="V10" s="3"/>
      <c r="W10" s="3"/>
      <c r="X10" s="3"/>
      <c r="Y10" s="3"/>
      <c r="Z10" s="3"/>
    </row>
    <row r="11">
      <c r="A11" s="14" t="s">
        <v>13</v>
      </c>
      <c r="B11" s="15"/>
      <c r="C11" s="3"/>
      <c r="D11" s="16" t="s">
        <v>14</v>
      </c>
      <c r="E11" s="17"/>
      <c r="F11" s="3"/>
      <c r="G11" s="3"/>
      <c r="H11" s="3"/>
      <c r="I11" s="3"/>
      <c r="J11" s="5">
        <f t="shared" si="1"/>
        <v>0</v>
      </c>
      <c r="K11" s="3"/>
      <c r="L11" s="5">
        <f t="shared" si="2"/>
        <v>61634.67188</v>
      </c>
      <c r="M11" s="10">
        <v>10.0</v>
      </c>
      <c r="N11" s="11"/>
      <c r="O11" s="12"/>
      <c r="P11" s="6"/>
      <c r="Q11" s="6"/>
      <c r="R11" s="6"/>
      <c r="S11" s="6"/>
      <c r="T11" s="6"/>
      <c r="U11" s="6"/>
      <c r="V11" s="3"/>
      <c r="W11" s="3"/>
      <c r="X11" s="3"/>
      <c r="Y11" s="3"/>
      <c r="Z11" s="3"/>
    </row>
    <row r="12">
      <c r="A12" s="18">
        <v>4.0</v>
      </c>
      <c r="B12" s="14" t="s">
        <v>15</v>
      </c>
      <c r="C12" s="3"/>
      <c r="D12" s="16" t="s">
        <v>16</v>
      </c>
      <c r="E12" s="16" t="s">
        <v>17</v>
      </c>
      <c r="F12" s="3"/>
      <c r="G12" s="3"/>
      <c r="H12" s="3"/>
      <c r="I12" s="3"/>
      <c r="J12" s="3"/>
      <c r="K12" s="3"/>
      <c r="L12" s="5">
        <f t="shared" si="2"/>
        <v>30817.33594</v>
      </c>
      <c r="M12" s="10">
        <v>11.0</v>
      </c>
      <c r="N12" s="11"/>
      <c r="O12" s="12"/>
      <c r="P12" s="6"/>
      <c r="Q12" s="6"/>
      <c r="R12" s="6"/>
      <c r="S12" s="6"/>
      <c r="T12" s="6"/>
      <c r="U12" s="6"/>
      <c r="V12" s="3"/>
      <c r="W12" s="3"/>
      <c r="X12" s="3"/>
      <c r="Y12" s="3"/>
      <c r="Z12" s="3"/>
    </row>
    <row r="13">
      <c r="A13" s="18">
        <v>68.0</v>
      </c>
      <c r="B13" s="14" t="s">
        <v>18</v>
      </c>
      <c r="C13" s="3"/>
      <c r="D13" s="19">
        <v>1136.0</v>
      </c>
      <c r="E13" s="20">
        <f>sum(A13*D13)</f>
        <v>77248</v>
      </c>
      <c r="F13" s="3"/>
      <c r="G13" s="3"/>
      <c r="H13" s="5">
        <f>sum(I7*1.35)</f>
        <v>42601885.2</v>
      </c>
      <c r="I13" s="5">
        <f>sum(I7:I10)</f>
        <v>59169285</v>
      </c>
      <c r="J13" s="21">
        <v>8.8E7</v>
      </c>
      <c r="K13" s="3"/>
      <c r="L13" s="5">
        <f t="shared" si="2"/>
        <v>15408.66797</v>
      </c>
      <c r="M13" s="10">
        <v>12.0</v>
      </c>
      <c r="N13" s="11"/>
      <c r="O13" s="12"/>
      <c r="P13" s="6"/>
      <c r="Q13" s="6"/>
      <c r="R13" s="6"/>
      <c r="S13" s="6"/>
      <c r="T13" s="6"/>
      <c r="U13" s="6"/>
      <c r="V13" s="3"/>
      <c r="W13" s="3"/>
      <c r="X13" s="3"/>
      <c r="Y13" s="3"/>
      <c r="Z13" s="3"/>
    </row>
    <row r="14">
      <c r="A14" s="18">
        <v>21000.0</v>
      </c>
      <c r="B14" s="14" t="s">
        <v>19</v>
      </c>
      <c r="C14" s="3"/>
      <c r="D14" s="17"/>
      <c r="E14" s="17"/>
      <c r="F14" s="3"/>
      <c r="G14" s="3"/>
      <c r="H14" s="5">
        <f>sum(H13-I7)</f>
        <v>11044933.2</v>
      </c>
      <c r="I14" s="3"/>
      <c r="J14" s="21">
        <f>sum(I13+J13)</f>
        <v>147169285</v>
      </c>
      <c r="K14" s="3"/>
      <c r="L14" s="5">
        <f t="shared" si="2"/>
        <v>7704.333984</v>
      </c>
      <c r="M14" s="10">
        <v>13.0</v>
      </c>
      <c r="N14" s="11"/>
      <c r="O14" s="12"/>
      <c r="P14" s="6"/>
      <c r="Q14" s="6"/>
      <c r="R14" s="6"/>
      <c r="S14" s="6"/>
      <c r="T14" s="6"/>
      <c r="U14" s="6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21">
        <f>sum(G20+H14)</f>
        <v>590517660.1</v>
      </c>
      <c r="I15" s="3"/>
      <c r="J15" s="3"/>
      <c r="K15" s="3"/>
      <c r="L15" s="5">
        <f t="shared" si="2"/>
        <v>3852.166992</v>
      </c>
      <c r="M15" s="10">
        <v>14.0</v>
      </c>
      <c r="N15" s="11"/>
      <c r="O15" s="12"/>
      <c r="P15" s="6"/>
      <c r="Q15" s="6"/>
      <c r="R15" s="6"/>
      <c r="S15" s="6"/>
      <c r="T15" s="6"/>
      <c r="U15" s="6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5">
        <f t="shared" si="2"/>
        <v>1926.083496</v>
      </c>
      <c r="M16" s="10">
        <v>15.0</v>
      </c>
      <c r="N16" s="11"/>
      <c r="O16" s="12"/>
      <c r="P16" s="6"/>
      <c r="Q16" s="6"/>
      <c r="R16" s="6"/>
      <c r="S16" s="6"/>
      <c r="T16" s="6"/>
      <c r="U16" s="6"/>
      <c r="V16" s="3"/>
      <c r="W16" s="3"/>
      <c r="X16" s="3"/>
      <c r="Y16" s="3"/>
      <c r="Z16" s="3"/>
    </row>
    <row r="17">
      <c r="A17" s="9" t="s">
        <v>20</v>
      </c>
      <c r="B17" s="3"/>
      <c r="C17" s="22" t="s">
        <v>21</v>
      </c>
      <c r="D17" s="3"/>
      <c r="E17" s="9" t="s">
        <v>22</v>
      </c>
      <c r="F17" s="3"/>
      <c r="G17" s="9" t="s">
        <v>23</v>
      </c>
      <c r="H17" s="22" t="s">
        <v>24</v>
      </c>
      <c r="I17" s="3"/>
      <c r="J17" s="3"/>
      <c r="K17" s="3"/>
      <c r="L17" s="5">
        <f t="shared" si="2"/>
        <v>963.041748</v>
      </c>
      <c r="M17" s="10">
        <v>16.0</v>
      </c>
      <c r="N17" s="11"/>
      <c r="O17" s="12"/>
      <c r="P17" s="6"/>
      <c r="Q17" s="6"/>
      <c r="R17" s="6"/>
      <c r="S17" s="6"/>
      <c r="T17" s="6"/>
      <c r="U17" s="6"/>
      <c r="V17" s="3"/>
      <c r="W17" s="3"/>
      <c r="X17" s="3"/>
      <c r="Y17" s="3"/>
      <c r="Z17" s="3"/>
    </row>
    <row r="18">
      <c r="A18" s="2" t="s">
        <v>25</v>
      </c>
      <c r="B18" s="23" t="s">
        <v>26</v>
      </c>
      <c r="C18" s="24">
        <v>1.048576E7</v>
      </c>
      <c r="D18" s="3"/>
      <c r="E18" s="5">
        <f>sum(10485760/77248)</f>
        <v>135.7415079</v>
      </c>
      <c r="F18" s="3"/>
      <c r="G18" s="5">
        <f>sum(I5*E18)</f>
        <v>428358824.8</v>
      </c>
      <c r="H18" s="5">
        <v>4.283588248E8</v>
      </c>
      <c r="I18" s="3"/>
      <c r="J18" s="5">
        <f>sum(I7:I10,L6:L26)</f>
        <v>63113902.12</v>
      </c>
      <c r="K18" s="3"/>
      <c r="L18" s="5">
        <f t="shared" si="2"/>
        <v>481.520874</v>
      </c>
      <c r="M18" s="10">
        <v>17.0</v>
      </c>
      <c r="N18" s="11"/>
      <c r="O18" s="12"/>
      <c r="P18" s="6"/>
      <c r="Q18" s="6"/>
      <c r="R18" s="6"/>
      <c r="S18" s="6"/>
      <c r="T18" s="6"/>
      <c r="U18" s="6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21">
        <f>sum(J14+G18)</f>
        <v>575528109.8</v>
      </c>
      <c r="H19" s="3"/>
      <c r="I19" s="3"/>
      <c r="J19" s="3"/>
      <c r="K19" s="3"/>
      <c r="L19" s="5">
        <f t="shared" si="2"/>
        <v>240.760437</v>
      </c>
      <c r="M19" s="10">
        <v>18.0</v>
      </c>
      <c r="N19" s="11"/>
      <c r="O19" s="12"/>
      <c r="P19" s="6"/>
      <c r="Q19" s="6"/>
      <c r="R19" s="6"/>
      <c r="S19" s="6"/>
      <c r="T19" s="6"/>
      <c r="U19" s="6"/>
      <c r="V19" s="3"/>
      <c r="W19" s="3"/>
      <c r="X19" s="3"/>
      <c r="Y19" s="3"/>
      <c r="Z19" s="3"/>
    </row>
    <row r="20">
      <c r="A20" s="3"/>
      <c r="B20" s="3"/>
      <c r="C20" s="3"/>
      <c r="D20" s="2" t="s">
        <v>27</v>
      </c>
      <c r="E20" s="5">
        <f>sum(E18*E13)</f>
        <v>10485760</v>
      </c>
      <c r="F20" s="3"/>
      <c r="G20" s="21">
        <f>sum(G19+I27)</f>
        <v>579472726.9</v>
      </c>
      <c r="H20" s="3"/>
      <c r="I20" s="3"/>
      <c r="J20" s="3"/>
      <c r="K20" s="3"/>
      <c r="L20" s="5">
        <f t="shared" si="2"/>
        <v>120.3802185</v>
      </c>
      <c r="M20" s="10">
        <v>19.0</v>
      </c>
      <c r="N20" s="11"/>
      <c r="O20" s="12"/>
      <c r="P20" s="6"/>
      <c r="Q20" s="6"/>
      <c r="R20" s="6"/>
      <c r="S20" s="6"/>
      <c r="T20" s="6"/>
      <c r="U20" s="6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25"/>
      <c r="G21" s="25"/>
      <c r="H21" s="3"/>
      <c r="I21" s="3"/>
      <c r="J21" s="3"/>
      <c r="K21" s="3"/>
      <c r="L21" s="5">
        <f t="shared" si="2"/>
        <v>60.19010925</v>
      </c>
      <c r="M21" s="10">
        <v>20.0</v>
      </c>
      <c r="N21" s="6"/>
      <c r="O21" s="12"/>
      <c r="P21" s="6"/>
      <c r="Q21" s="6"/>
      <c r="R21" s="6"/>
      <c r="S21" s="6"/>
      <c r="T21" s="6"/>
      <c r="U21" s="6"/>
      <c r="V21" s="3"/>
      <c r="W21" s="3"/>
      <c r="X21" s="3"/>
      <c r="Y21" s="3"/>
      <c r="Z21" s="3"/>
    </row>
    <row r="22">
      <c r="A22" s="3"/>
      <c r="B22" s="3"/>
      <c r="C22" s="3"/>
      <c r="D22" s="3"/>
      <c r="E22" s="25"/>
      <c r="F22" s="26" t="s">
        <v>28</v>
      </c>
      <c r="G22" s="27">
        <f>sum(G20+31556952)</f>
        <v>611029678.9</v>
      </c>
      <c r="H22" s="3"/>
      <c r="I22" s="3"/>
      <c r="J22" s="3"/>
      <c r="K22" s="3"/>
      <c r="L22" s="5">
        <f t="shared" si="2"/>
        <v>30.09505463</v>
      </c>
      <c r="M22" s="10">
        <v>21.0</v>
      </c>
      <c r="N22" s="11"/>
      <c r="O22" s="12"/>
      <c r="P22" s="6"/>
      <c r="Q22" s="6"/>
      <c r="R22" s="6"/>
      <c r="S22" s="6"/>
      <c r="T22" s="6"/>
      <c r="U22" s="6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5">
        <f>sum(I7)</f>
        <v>31556952</v>
      </c>
      <c r="I23" s="3"/>
      <c r="J23" s="3"/>
      <c r="K23" s="3"/>
      <c r="L23" s="5">
        <f t="shared" si="2"/>
        <v>15.04752731</v>
      </c>
      <c r="M23" s="10">
        <v>22.0</v>
      </c>
      <c r="N23" s="11"/>
      <c r="O23" s="12"/>
      <c r="P23" s="6"/>
      <c r="Q23" s="6"/>
      <c r="R23" s="6"/>
      <c r="S23" s="6"/>
      <c r="T23" s="6"/>
      <c r="U23" s="6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2"/>
      <c r="G24" s="3"/>
      <c r="H24" s="3"/>
      <c r="I24" s="3"/>
      <c r="J24" s="3"/>
      <c r="K24" s="3"/>
      <c r="L24" s="5">
        <f t="shared" si="2"/>
        <v>7.523763657</v>
      </c>
      <c r="M24" s="10">
        <v>23.0</v>
      </c>
      <c r="N24" s="11"/>
      <c r="O24" s="12"/>
      <c r="P24" s="6"/>
      <c r="Q24" s="6"/>
      <c r="R24" s="6"/>
      <c r="S24" s="6"/>
      <c r="T24" s="6"/>
      <c r="U24" s="6"/>
      <c r="V24" s="3"/>
      <c r="W24" s="3"/>
      <c r="X24" s="3"/>
      <c r="Y24" s="3"/>
      <c r="Z24" s="3"/>
    </row>
    <row r="25">
      <c r="A25" s="28" t="s">
        <v>29</v>
      </c>
      <c r="B25" s="29"/>
      <c r="C25" s="29"/>
      <c r="D25" s="29"/>
      <c r="E25" s="3"/>
      <c r="F25" s="3"/>
      <c r="G25" s="3"/>
      <c r="H25" s="3"/>
      <c r="I25" s="3"/>
      <c r="J25" s="3"/>
      <c r="K25" s="3"/>
      <c r="L25" s="5">
        <f t="shared" si="2"/>
        <v>3.761881828</v>
      </c>
      <c r="M25" s="10">
        <v>24.0</v>
      </c>
      <c r="N25" s="11"/>
      <c r="O25" s="12"/>
      <c r="P25" s="6"/>
      <c r="Q25" s="6"/>
      <c r="R25" s="6"/>
      <c r="S25" s="6"/>
      <c r="T25" s="6"/>
      <c r="U25" s="6"/>
      <c r="V25" s="3"/>
      <c r="W25" s="3"/>
      <c r="X25" s="3"/>
      <c r="Y25" s="3"/>
      <c r="Z25" s="3"/>
    </row>
    <row r="26">
      <c r="A26" s="30" t="s">
        <v>30</v>
      </c>
      <c r="B26" s="29"/>
      <c r="C26" s="31" t="s">
        <v>31</v>
      </c>
      <c r="D26" s="29"/>
      <c r="E26" s="3"/>
      <c r="F26" s="3"/>
      <c r="G26" s="3"/>
      <c r="H26" s="3"/>
      <c r="I26" s="3"/>
      <c r="J26" s="3"/>
      <c r="K26" s="3"/>
      <c r="L26" s="5">
        <f t="shared" si="2"/>
        <v>1.880940914</v>
      </c>
      <c r="M26" s="10">
        <v>25.0</v>
      </c>
      <c r="N26" s="11"/>
      <c r="O26" s="12"/>
      <c r="P26" s="6"/>
      <c r="Q26" s="6"/>
      <c r="R26" s="6"/>
      <c r="S26" s="6"/>
      <c r="T26" s="6"/>
      <c r="U26" s="6"/>
      <c r="V26" s="3"/>
      <c r="W26" s="3"/>
      <c r="X26" s="3"/>
      <c r="Y26" s="3"/>
      <c r="Z26" s="3"/>
    </row>
    <row r="27">
      <c r="A27" s="30" t="s">
        <v>32</v>
      </c>
      <c r="B27" s="29"/>
      <c r="C27" s="31" t="s">
        <v>33</v>
      </c>
      <c r="D27" s="29"/>
      <c r="E27" s="3"/>
      <c r="F27" s="3"/>
      <c r="G27" s="21">
        <f>sum(G20-G18)</f>
        <v>151113902.1</v>
      </c>
      <c r="H27" s="21">
        <f>sum(G27+H14)</f>
        <v>162158835.3</v>
      </c>
      <c r="I27" s="5">
        <f>sum(L6:L26)</f>
        <v>3944617.119</v>
      </c>
      <c r="J27" s="5">
        <f>sum(I13+I27)</f>
        <v>63113902.12</v>
      </c>
      <c r="K27" s="3"/>
      <c r="L27" s="5">
        <f t="shared" si="2"/>
        <v>0.9404704571</v>
      </c>
      <c r="M27" s="32"/>
      <c r="N27" s="6"/>
      <c r="O27" s="6"/>
      <c r="P27" s="6"/>
      <c r="Q27" s="6"/>
      <c r="R27" s="6"/>
      <c r="S27" s="6"/>
      <c r="T27" s="6"/>
      <c r="U27" s="6"/>
      <c r="V27" s="3"/>
      <c r="W27" s="3"/>
      <c r="X27" s="3"/>
      <c r="Y27" s="3"/>
      <c r="Z27" s="3"/>
    </row>
    <row r="28">
      <c r="A28" s="30" t="s">
        <v>34</v>
      </c>
      <c r="B28" s="29"/>
      <c r="C28" s="33" t="s">
        <v>35</v>
      </c>
      <c r="D28" s="29"/>
      <c r="E28" s="3"/>
      <c r="F28" s="3"/>
      <c r="G28" s="21">
        <f>sum(G20-G27)</f>
        <v>428358824.8</v>
      </c>
      <c r="H28" s="3"/>
      <c r="I28" s="3"/>
      <c r="J28" s="3"/>
      <c r="K28" s="3"/>
      <c r="L28" s="5">
        <f t="shared" si="2"/>
        <v>0.4702352285</v>
      </c>
      <c r="M28" s="32"/>
      <c r="N28" s="6"/>
      <c r="O28" s="6"/>
      <c r="P28" s="6"/>
      <c r="Q28" s="6"/>
      <c r="R28" s="6"/>
      <c r="S28" s="6"/>
      <c r="T28" s="6"/>
      <c r="U28" s="6"/>
      <c r="V28" s="3"/>
      <c r="W28" s="3"/>
      <c r="X28" s="3"/>
      <c r="Y28" s="3"/>
      <c r="Z28" s="3"/>
    </row>
    <row r="29">
      <c r="A29" s="30" t="s">
        <v>36</v>
      </c>
      <c r="B29" s="29"/>
      <c r="C29" s="33" t="s">
        <v>37</v>
      </c>
      <c r="D29" s="29"/>
      <c r="E29" s="3"/>
      <c r="F29" s="3"/>
      <c r="G29" s="3"/>
      <c r="H29" s="3"/>
      <c r="I29" s="3"/>
      <c r="J29" s="3"/>
      <c r="K29" s="3"/>
      <c r="L29" s="5">
        <f t="shared" si="2"/>
        <v>0.2351176143</v>
      </c>
      <c r="M29" s="32"/>
      <c r="N29" s="6"/>
      <c r="O29" s="6"/>
      <c r="P29" s="6"/>
      <c r="Q29" s="6"/>
      <c r="R29" s="6"/>
      <c r="S29" s="6"/>
      <c r="T29" s="6"/>
      <c r="U29" s="6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5">
        <f t="shared" si="2"/>
        <v>0.1175588071</v>
      </c>
      <c r="M30" s="3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5">
        <f t="shared" si="2"/>
        <v>0.05877940357</v>
      </c>
      <c r="M31" s="3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5">
        <f t="shared" si="2"/>
        <v>0.02938970178</v>
      </c>
      <c r="M32" s="3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5">
        <f t="shared" si="2"/>
        <v>0.01469485089</v>
      </c>
      <c r="M33" s="3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5">
        <f t="shared" si="2"/>
        <v>0.007347425446</v>
      </c>
      <c r="M34" s="32"/>
      <c r="N34" s="5">
        <f>sum(L27:L33)</f>
        <v>1.866246063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5">
        <f t="shared" si="2"/>
        <v>0.003673712723</v>
      </c>
      <c r="M35" s="3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4" t="s">
        <v>38</v>
      </c>
      <c r="E36" s="17"/>
      <c r="F36" s="3"/>
      <c r="G36" s="3"/>
      <c r="H36" s="3"/>
      <c r="I36" s="3"/>
      <c r="J36" s="3"/>
      <c r="K36" s="3"/>
      <c r="L36" s="5">
        <f t="shared" si="2"/>
        <v>0.001836856361</v>
      </c>
      <c r="M36" s="3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5" t="s">
        <v>39</v>
      </c>
      <c r="E37" s="36">
        <f>sum(G18*D13)</f>
        <v>486615625005</v>
      </c>
      <c r="F37" s="3"/>
      <c r="G37" s="3"/>
      <c r="H37" s="3"/>
      <c r="I37" s="3"/>
      <c r="J37" s="3"/>
      <c r="K37" s="3"/>
      <c r="L37" s="5">
        <f t="shared" si="2"/>
        <v>0.0009184281807</v>
      </c>
      <c r="M37" s="3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5" t="s">
        <v>40</v>
      </c>
      <c r="E38" s="36">
        <v>486.615625005</v>
      </c>
      <c r="F38" s="3"/>
      <c r="G38" s="3"/>
      <c r="H38" s="3"/>
      <c r="I38" s="3"/>
      <c r="J38" s="3"/>
      <c r="K38" s="3"/>
      <c r="L38" s="5">
        <f t="shared" si="2"/>
        <v>0.0004592140904</v>
      </c>
      <c r="M38" s="3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7"/>
      <c r="E39" s="37"/>
      <c r="F39" s="3"/>
      <c r="G39" s="3"/>
      <c r="H39" s="3"/>
      <c r="I39" s="3"/>
      <c r="J39" s="3"/>
      <c r="K39" s="3"/>
      <c r="L39" s="5">
        <f t="shared" si="2"/>
        <v>0.0002296070452</v>
      </c>
      <c r="M39" s="3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5">
        <f t="shared" si="2"/>
        <v>0.0001148035226</v>
      </c>
      <c r="M40" s="3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5">
        <f t="shared" si="2"/>
        <v>0.0000574017613</v>
      </c>
      <c r="M41" s="3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C26"/>
    <hyperlink r:id="rId2" ref="C27"/>
    <hyperlink r:id="rId3" ref="C28"/>
    <hyperlink r:id="rId4" ref="C2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3.57"/>
    <col customWidth="1" min="5" max="5" width="23.14"/>
    <col customWidth="1" min="10" max="10" width="15.86"/>
  </cols>
  <sheetData>
    <row r="1">
      <c r="A1" s="38"/>
      <c r="B1" s="38" t="s">
        <v>3</v>
      </c>
      <c r="C1" s="38" t="s">
        <v>4</v>
      </c>
      <c r="D1" s="38"/>
      <c r="E1" s="38" t="s">
        <v>5</v>
      </c>
      <c r="F1" s="38" t="s">
        <v>6</v>
      </c>
      <c r="G1" s="38" t="s">
        <v>7</v>
      </c>
      <c r="H1" s="38" t="s">
        <v>8</v>
      </c>
      <c r="I1" s="38" t="s">
        <v>9</v>
      </c>
      <c r="J1" s="38" t="s">
        <v>10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38"/>
      <c r="B2" s="38">
        <v>1.0</v>
      </c>
      <c r="C2" s="38">
        <v>10.0</v>
      </c>
      <c r="D2" s="38"/>
      <c r="E2" s="38">
        <v>86400.0</v>
      </c>
      <c r="F2" s="40">
        <f>sum(86400/10)</f>
        <v>8640</v>
      </c>
      <c r="G2" s="38">
        <v>365.2425</v>
      </c>
      <c r="H2" s="40">
        <f>sum(G2*E2)</f>
        <v>31556952</v>
      </c>
      <c r="I2" s="40">
        <f>sum(H2/10)</f>
        <v>3155695.2</v>
      </c>
      <c r="J2" s="38">
        <v>10.0</v>
      </c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38"/>
      <c r="B3" s="38"/>
      <c r="C3" s="38"/>
      <c r="D3" s="38"/>
      <c r="E3" s="38"/>
      <c r="F3" s="38"/>
      <c r="G3" s="38"/>
      <c r="H3" s="38"/>
      <c r="I3" s="38" t="s">
        <v>12</v>
      </c>
      <c r="J3" s="38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38"/>
      <c r="B4" s="38"/>
      <c r="C4" s="38"/>
      <c r="D4" s="38"/>
      <c r="E4" s="38"/>
      <c r="F4" s="38"/>
      <c r="G4" s="38"/>
      <c r="H4" s="38">
        <v>1.0</v>
      </c>
      <c r="I4" s="40">
        <f>sum(I2*10)</f>
        <v>31556952</v>
      </c>
      <c r="J4" s="40">
        <f t="shared" ref="J4:J8" si="1">sum(I4*0.15)</f>
        <v>4733542.8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38"/>
      <c r="B5" s="38"/>
      <c r="C5" s="38"/>
      <c r="D5" s="38"/>
      <c r="E5" s="38"/>
      <c r="F5" s="38"/>
      <c r="G5" s="38"/>
      <c r="H5" s="38">
        <v>2.0</v>
      </c>
      <c r="I5" s="40">
        <f t="shared" ref="I5:I7" si="2">sum(I4/2)</f>
        <v>15778476</v>
      </c>
      <c r="J5" s="40">
        <f t="shared" si="1"/>
        <v>2366771.4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38"/>
      <c r="B6" s="38"/>
      <c r="C6" s="38"/>
      <c r="D6" s="38"/>
      <c r="E6" s="38"/>
      <c r="F6" s="38"/>
      <c r="G6" s="38"/>
      <c r="H6" s="38">
        <v>3.0</v>
      </c>
      <c r="I6" s="40">
        <f t="shared" si="2"/>
        <v>7889238</v>
      </c>
      <c r="J6" s="40">
        <f t="shared" si="1"/>
        <v>1183385.7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38"/>
      <c r="B7" s="38"/>
      <c r="C7" s="38"/>
      <c r="D7" s="38"/>
      <c r="E7" s="38"/>
      <c r="F7" s="38"/>
      <c r="G7" s="38"/>
      <c r="H7" s="38">
        <v>4.0</v>
      </c>
      <c r="I7" s="40">
        <f t="shared" si="2"/>
        <v>3944619</v>
      </c>
      <c r="J7" s="40">
        <f t="shared" si="1"/>
        <v>591692.85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38" t="s">
        <v>13</v>
      </c>
      <c r="B8" s="38"/>
      <c r="C8" s="38"/>
      <c r="D8" s="38" t="s">
        <v>14</v>
      </c>
      <c r="E8" s="38"/>
      <c r="F8" s="38"/>
      <c r="G8" s="38"/>
      <c r="H8" s="38"/>
      <c r="I8" s="38"/>
      <c r="J8" s="40">
        <f t="shared" si="1"/>
        <v>0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38">
        <v>4.0</v>
      </c>
      <c r="B9" s="38" t="s">
        <v>15</v>
      </c>
      <c r="C9" s="38"/>
      <c r="D9" s="38" t="s">
        <v>16</v>
      </c>
      <c r="E9" s="38" t="s">
        <v>17</v>
      </c>
      <c r="F9" s="38"/>
      <c r="G9" s="38"/>
      <c r="H9" s="38"/>
      <c r="I9" s="38"/>
      <c r="J9" s="38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38">
        <v>68.0</v>
      </c>
      <c r="B10" s="38" t="s">
        <v>18</v>
      </c>
      <c r="C10" s="38"/>
      <c r="D10" s="41">
        <v>1136.0</v>
      </c>
      <c r="E10" s="40">
        <f>sum(A10*D10)</f>
        <v>77248</v>
      </c>
      <c r="F10" s="38"/>
      <c r="G10" s="38"/>
      <c r="H10" s="40">
        <f>sum(I4*1.35)</f>
        <v>42601885.2</v>
      </c>
      <c r="I10" s="40">
        <f>sum(I4:I7)</f>
        <v>59169285</v>
      </c>
      <c r="J10" s="42">
        <v>8.8E7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38">
        <v>21000.0</v>
      </c>
      <c r="B11" s="38" t="s">
        <v>19</v>
      </c>
      <c r="C11" s="38"/>
      <c r="D11" s="38"/>
      <c r="E11" s="38"/>
      <c r="F11" s="38"/>
      <c r="G11" s="38"/>
      <c r="H11" s="40">
        <f>sum(H10-I4)</f>
        <v>11044933.2</v>
      </c>
      <c r="I11" s="38"/>
      <c r="J11" s="42">
        <f>sum(I10+J10)</f>
        <v>147169285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43"/>
      <c r="B12" s="38"/>
      <c r="C12" s="38"/>
      <c r="D12" s="38"/>
      <c r="E12" s="38"/>
      <c r="F12" s="38"/>
      <c r="G12" s="38"/>
      <c r="H12" s="42">
        <f>sum(G17+H11)</f>
        <v>586573043</v>
      </c>
      <c r="I12" s="38"/>
      <c r="J12" s="38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43"/>
      <c r="B13" s="41"/>
      <c r="C13" s="38"/>
      <c r="D13" s="38"/>
      <c r="E13" s="38"/>
      <c r="F13" s="38"/>
      <c r="G13" s="38"/>
      <c r="H13" s="38"/>
      <c r="I13" s="38"/>
      <c r="J13" s="38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38"/>
      <c r="B14" s="38"/>
      <c r="C14" s="44" t="s">
        <v>21</v>
      </c>
      <c r="D14" s="38"/>
      <c r="E14" s="38" t="s">
        <v>22</v>
      </c>
      <c r="F14" s="38"/>
      <c r="G14" s="38" t="s">
        <v>23</v>
      </c>
      <c r="H14" s="44" t="s">
        <v>24</v>
      </c>
      <c r="I14" s="38"/>
      <c r="J14" s="38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38"/>
      <c r="B15" s="38"/>
      <c r="C15" s="38">
        <v>1.048576E7</v>
      </c>
      <c r="D15" s="38"/>
      <c r="E15" s="40">
        <f>sum(10485760/77248)</f>
        <v>135.7415079</v>
      </c>
      <c r="F15" s="38"/>
      <c r="G15" s="40">
        <f>sum(I2*E15)</f>
        <v>428358824.8</v>
      </c>
      <c r="H15" s="38">
        <v>4.283588248E8</v>
      </c>
      <c r="I15" s="38"/>
      <c r="J15" s="40">
        <f>sum(I4:I7,L3:L23)</f>
        <v>59169285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38"/>
      <c r="B16" s="38"/>
      <c r="C16" s="38"/>
      <c r="D16" s="38"/>
      <c r="E16" s="38"/>
      <c r="F16" s="38"/>
      <c r="G16" s="42">
        <f>sum(J11+G15)</f>
        <v>575528109.8</v>
      </c>
      <c r="H16" s="38"/>
      <c r="I16" s="38"/>
      <c r="J16" s="38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44"/>
      <c r="B17" s="38"/>
      <c r="C17" s="38"/>
      <c r="D17" s="38" t="s">
        <v>27</v>
      </c>
      <c r="E17" s="40">
        <f>sum(E15*E10)</f>
        <v>10485760</v>
      </c>
      <c r="F17" s="38"/>
      <c r="G17" s="42">
        <f>sum(G16+I24)</f>
        <v>575528109.8</v>
      </c>
      <c r="H17" s="38"/>
      <c r="I17" s="38"/>
      <c r="J17" s="38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38" t="s">
        <v>15</v>
      </c>
      <c r="B18" s="38">
        <v>4.0</v>
      </c>
      <c r="C18" s="38"/>
      <c r="D18" s="38"/>
      <c r="E18" s="38"/>
      <c r="F18" s="38"/>
      <c r="G18" s="38"/>
      <c r="H18" s="38"/>
      <c r="I18" s="38"/>
      <c r="J18" s="38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38" t="s">
        <v>18</v>
      </c>
      <c r="B19" s="38">
        <v>68.0</v>
      </c>
      <c r="C19" s="38"/>
      <c r="D19" s="38"/>
      <c r="E19" s="38"/>
      <c r="F19" s="38" t="s">
        <v>28</v>
      </c>
      <c r="G19" s="42">
        <f>sum(G17+31556952)</f>
        <v>607085061.8</v>
      </c>
      <c r="H19" s="38"/>
      <c r="I19" s="38"/>
      <c r="J19" s="38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38" t="s">
        <v>19</v>
      </c>
      <c r="B20" s="38">
        <v>21000.0</v>
      </c>
      <c r="C20" s="38"/>
      <c r="D20" s="38"/>
      <c r="E20" s="38"/>
      <c r="F20" s="38"/>
      <c r="G20" s="38"/>
      <c r="H20" s="40">
        <f>sum(I4)</f>
        <v>31556952</v>
      </c>
      <c r="I20" s="38"/>
      <c r="J20" s="38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44" t="s">
        <v>21</v>
      </c>
      <c r="B21" s="38">
        <v>1.048576E7</v>
      </c>
      <c r="C21" s="38"/>
      <c r="D21" s="38"/>
      <c r="E21" s="38"/>
      <c r="F21" s="38"/>
      <c r="G21" s="38"/>
      <c r="H21" s="38"/>
      <c r="I21" s="38"/>
      <c r="J21" s="38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43" t="s">
        <v>41</v>
      </c>
      <c r="B22" s="38" t="s">
        <v>26</v>
      </c>
      <c r="C22" s="38"/>
      <c r="D22" s="38"/>
      <c r="E22" s="38"/>
      <c r="F22" s="38"/>
      <c r="G22" s="38"/>
      <c r="H22" s="38"/>
      <c r="I22" s="38"/>
      <c r="J22" s="38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43"/>
      <c r="B23" s="38"/>
      <c r="F23" s="38"/>
      <c r="G23" s="38"/>
      <c r="H23" s="38"/>
      <c r="I23" s="38"/>
      <c r="J23" s="38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45"/>
      <c r="B24" s="38"/>
      <c r="F24" s="38"/>
      <c r="G24" s="42">
        <f>sum(G17-G15)</f>
        <v>147169285</v>
      </c>
      <c r="H24" s="42">
        <f>sum(G24+H11)</f>
        <v>158214218.2</v>
      </c>
      <c r="I24" s="40">
        <f>sum(L3:L23)</f>
        <v>0</v>
      </c>
      <c r="J24" s="40">
        <f>sum(I10+I24)</f>
        <v>59169285</v>
      </c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43" t="s">
        <v>42</v>
      </c>
      <c r="B25" s="41">
        <v>1136.0</v>
      </c>
      <c r="F25" s="38"/>
      <c r="G25" s="42">
        <f>sum(G17-G24)</f>
        <v>428358824.8</v>
      </c>
      <c r="H25" s="38"/>
      <c r="I25" s="38"/>
      <c r="J25" s="38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43" t="s">
        <v>43</v>
      </c>
      <c r="B26" s="45">
        <f>sum(B19*B25)</f>
        <v>77248</v>
      </c>
      <c r="F26" s="38"/>
      <c r="G26" s="38"/>
      <c r="H26" s="38"/>
      <c r="I26" s="38"/>
      <c r="J26" s="38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45"/>
      <c r="B27" s="45"/>
      <c r="C27" s="38"/>
      <c r="D27" s="38"/>
      <c r="E27" s="38"/>
      <c r="F27" s="38"/>
      <c r="G27" s="38"/>
      <c r="H27" s="38"/>
      <c r="I27" s="38"/>
      <c r="J27" s="38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45"/>
      <c r="B28" s="45"/>
      <c r="C28" s="38"/>
      <c r="D28" s="38"/>
      <c r="E28" s="38"/>
      <c r="F28" s="38"/>
      <c r="G28" s="38"/>
      <c r="H28" s="38"/>
      <c r="I28" s="38"/>
      <c r="J28" s="38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45"/>
      <c r="B29" s="45"/>
      <c r="C29" s="38"/>
      <c r="D29" s="38"/>
      <c r="E29" s="38"/>
      <c r="F29" s="38"/>
      <c r="G29" s="38"/>
      <c r="H29" s="38"/>
      <c r="I29" s="38"/>
      <c r="J29" s="38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45"/>
      <c r="B30" s="45"/>
      <c r="C30" s="38"/>
      <c r="D30" s="38"/>
      <c r="E30" s="38"/>
      <c r="F30" s="38"/>
      <c r="G30" s="38"/>
      <c r="H30" s="38"/>
      <c r="I30" s="38"/>
      <c r="J30" s="38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44" t="s">
        <v>38</v>
      </c>
      <c r="B31" s="38"/>
      <c r="C31" s="38"/>
      <c r="D31" s="38"/>
      <c r="E31" s="38"/>
      <c r="F31" s="38"/>
      <c r="G31" s="38"/>
      <c r="H31" s="38"/>
      <c r="I31" s="38"/>
      <c r="J31" s="38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43" t="s">
        <v>44</v>
      </c>
      <c r="B32" s="40">
        <f>sum(G27*D22)</f>
        <v>0</v>
      </c>
      <c r="C32" s="38"/>
      <c r="F32" s="38"/>
      <c r="G32" s="38"/>
      <c r="H32" s="38"/>
      <c r="I32" s="38"/>
      <c r="J32" s="38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43" t="s">
        <v>45</v>
      </c>
      <c r="B33" s="38">
        <v>486.615625005</v>
      </c>
      <c r="C33" s="38"/>
      <c r="F33" s="38"/>
      <c r="G33" s="38"/>
      <c r="H33" s="38"/>
      <c r="I33" s="38"/>
      <c r="J33" s="38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46" t="s">
        <v>46</v>
      </c>
      <c r="B34" s="38">
        <v>1.048576E7</v>
      </c>
      <c r="C34" s="38"/>
      <c r="F34" s="38"/>
      <c r="G34" s="38"/>
      <c r="H34" s="38"/>
      <c r="I34" s="38"/>
      <c r="J34" s="38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43" t="s">
        <v>47</v>
      </c>
      <c r="B35" s="40">
        <f>sum(10485760/77248)</f>
        <v>135.7415079</v>
      </c>
      <c r="C35" s="38"/>
      <c r="F35" s="38"/>
      <c r="G35" s="38"/>
      <c r="H35" s="38"/>
      <c r="I35" s="38"/>
      <c r="J35" s="38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38"/>
      <c r="B36" s="38"/>
      <c r="C36" s="38"/>
      <c r="F36" s="38"/>
      <c r="G36" s="38"/>
      <c r="H36" s="38"/>
      <c r="I36" s="38"/>
      <c r="J36" s="38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8" t="s">
        <v>29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8" t="s">
        <v>32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8" t="s">
        <v>30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8" t="s">
        <v>36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47" t="s">
        <v>31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47" t="s">
        <v>33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48" t="s">
        <v>37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hyperlinks>
    <hyperlink r:id="rId1" ref="A48"/>
    <hyperlink r:id="rId2" ref="A49"/>
    <hyperlink r:id="rId3" ref="A50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3" t="s">
        <v>48</v>
      </c>
      <c r="B1" s="43" t="s">
        <v>49</v>
      </c>
    </row>
    <row r="2">
      <c r="A2" s="40" t="s">
        <v>3</v>
      </c>
      <c r="B2" s="40">
        <v>1.0</v>
      </c>
    </row>
    <row r="3">
      <c r="A3" s="40" t="s">
        <v>4</v>
      </c>
      <c r="B3" s="40">
        <v>10.0</v>
      </c>
    </row>
    <row r="4">
      <c r="A4" s="40" t="s">
        <v>5</v>
      </c>
      <c r="B4" s="40">
        <v>86400.0</v>
      </c>
      <c r="F4" s="49"/>
    </row>
    <row r="5">
      <c r="A5" s="40" t="s">
        <v>6</v>
      </c>
      <c r="B5" s="40">
        <f>sum(86400/10)</f>
        <v>8640</v>
      </c>
    </row>
    <row r="6">
      <c r="A6" s="40" t="s">
        <v>7</v>
      </c>
      <c r="B6" s="40">
        <v>365.2425</v>
      </c>
    </row>
    <row r="7">
      <c r="A7" s="40" t="s">
        <v>8</v>
      </c>
      <c r="B7" s="40">
        <f>sum(B6*B4)</f>
        <v>31556952</v>
      </c>
    </row>
    <row r="8">
      <c r="A8" s="40" t="s">
        <v>9</v>
      </c>
      <c r="B8" s="40">
        <f>sum(B7/10)</f>
        <v>3155695.2</v>
      </c>
    </row>
    <row r="9">
      <c r="A9" s="40" t="s">
        <v>15</v>
      </c>
      <c r="B9" s="40">
        <v>4.0</v>
      </c>
    </row>
    <row r="10">
      <c r="A10" s="40" t="s">
        <v>18</v>
      </c>
      <c r="B10" s="40">
        <v>68.0</v>
      </c>
    </row>
    <row r="11">
      <c r="A11" s="40" t="s">
        <v>19</v>
      </c>
      <c r="B11" s="40">
        <v>21000.0</v>
      </c>
    </row>
    <row r="12">
      <c r="A12" s="50" t="s">
        <v>21</v>
      </c>
      <c r="B12" s="40">
        <v>1.048576E7</v>
      </c>
    </row>
    <row r="13">
      <c r="A13" s="51" t="s">
        <v>41</v>
      </c>
      <c r="B13" s="40" t="s">
        <v>26</v>
      </c>
    </row>
    <row r="14">
      <c r="A14" s="51" t="s">
        <v>42</v>
      </c>
      <c r="B14" s="42">
        <v>1136.0</v>
      </c>
    </row>
    <row r="15">
      <c r="A15" s="51" t="s">
        <v>43</v>
      </c>
      <c r="B15" s="45">
        <f>sum(B9*B14)</f>
        <v>4544</v>
      </c>
    </row>
    <row r="16">
      <c r="A16" s="43" t="s">
        <v>44</v>
      </c>
      <c r="B16" s="40">
        <f>sum(G12*D7)</f>
        <v>0</v>
      </c>
    </row>
    <row r="17">
      <c r="A17" s="43" t="s">
        <v>45</v>
      </c>
      <c r="B17" s="38">
        <v>486.615625005</v>
      </c>
    </row>
    <row r="18">
      <c r="A18" s="46" t="s">
        <v>46</v>
      </c>
      <c r="B18" s="38">
        <v>1.048576E7</v>
      </c>
    </row>
    <row r="19">
      <c r="A19" s="43" t="s">
        <v>47</v>
      </c>
      <c r="B19" s="40">
        <f t="shared" ref="B19:B20" si="1">sum(10485760/77248)</f>
        <v>135.7415079</v>
      </c>
    </row>
    <row r="20">
      <c r="A20" s="52" t="s">
        <v>50</v>
      </c>
      <c r="B20" s="53">
        <f t="shared" si="1"/>
        <v>135.7415079</v>
      </c>
    </row>
    <row r="21">
      <c r="A21" s="52" t="s">
        <v>51</v>
      </c>
      <c r="B21" s="54">
        <f>sum(B8*B20)</f>
        <v>428358824.8</v>
      </c>
    </row>
  </sheetData>
  <drawing r:id="rId1"/>
</worksheet>
</file>