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tate-medicaid-data\"/>
    </mc:Choice>
  </mc:AlternateContent>
  <xr:revisionPtr revIDLastSave="0" documentId="13_ncr:1_{2A69441C-DE72-4D39-9D1F-152B07B897F2}" xr6:coauthVersionLast="45" xr6:coauthVersionMax="45" xr10:uidLastSave="{00000000-0000-0000-0000-000000000000}"/>
  <bookViews>
    <workbookView xWindow="-120" yWindow="-120" windowWidth="25440" windowHeight="15390" xr2:uid="{0ACF6E4E-AED8-4C62-8E81-D0950A99DA13}"/>
  </bookViews>
  <sheets>
    <sheet name="Sheet1" sheetId="1" r:id="rId1"/>
    <sheet name="Sheet2" sheetId="2" r:id="rId2"/>
  </sheets>
  <definedNames>
    <definedName name="_xlnm._FilterDatabase" localSheetId="0" hidden="1">Sheet1!$A$1:$K$218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5" i="1" l="1"/>
  <c r="E17" i="1"/>
  <c r="J9" i="1"/>
  <c r="G9" i="1"/>
  <c r="E9" i="1" s="1"/>
  <c r="E141" i="1" l="1"/>
  <c r="F136" i="1" l="1"/>
  <c r="F135" i="1"/>
  <c r="F137" i="1"/>
  <c r="F138" i="1"/>
  <c r="F139" i="1"/>
  <c r="F140" i="1"/>
  <c r="F141" i="1"/>
  <c r="F161" i="1" l="1"/>
  <c r="E161" i="1"/>
  <c r="F160" i="1"/>
  <c r="E160" i="1"/>
  <c r="F162" i="1"/>
  <c r="E162" i="1"/>
  <c r="F163" i="1"/>
  <c r="E163" i="1"/>
  <c r="F164" i="1"/>
  <c r="E164" i="1"/>
  <c r="F165" i="1"/>
  <c r="E165" i="1"/>
  <c r="F166" i="1"/>
  <c r="E166" i="1"/>
  <c r="E153" i="1"/>
  <c r="E155" i="1"/>
  <c r="E156" i="1"/>
  <c r="E157" i="1"/>
  <c r="E158" i="1"/>
  <c r="E159" i="1"/>
  <c r="E96" i="1"/>
  <c r="E95" i="1"/>
  <c r="E94" i="1"/>
  <c r="E93" i="1"/>
  <c r="E92" i="1"/>
  <c r="E90" i="1"/>
  <c r="E91" i="1"/>
  <c r="D96" i="1"/>
  <c r="D95" i="1"/>
  <c r="D94" i="1"/>
  <c r="D93" i="1"/>
  <c r="D92" i="1"/>
  <c r="D91" i="1"/>
  <c r="D90" i="1"/>
  <c r="E3" i="1" l="1"/>
  <c r="E2" i="1"/>
  <c r="E46" i="1"/>
  <c r="E51" i="1"/>
  <c r="E50" i="1"/>
  <c r="E49" i="1"/>
  <c r="E48" i="1"/>
  <c r="E11" i="1" l="1"/>
  <c r="E140" i="1" l="1"/>
  <c r="E139" i="1"/>
  <c r="E138" i="1"/>
  <c r="E137" i="1"/>
  <c r="E136" i="1"/>
  <c r="E135" i="1"/>
  <c r="E59" i="1" l="1"/>
  <c r="E60" i="1"/>
  <c r="E61" i="1"/>
  <c r="E62" i="1"/>
  <c r="E63" i="1"/>
  <c r="E64" i="1"/>
  <c r="D213" i="1" l="1"/>
  <c r="E194" i="1" l="1"/>
  <c r="E129" i="1" l="1"/>
  <c r="H111" i="1" l="1"/>
  <c r="H110" i="1"/>
  <c r="E110" i="1"/>
  <c r="F40" i="1" l="1"/>
  <c r="D40" i="1"/>
  <c r="F45" i="1"/>
  <c r="E10" i="1" l="1"/>
  <c r="H115" i="1" l="1"/>
  <c r="H114" i="1"/>
  <c r="H113" i="1"/>
  <c r="H112" i="1"/>
  <c r="E115" i="1"/>
  <c r="E114" i="1"/>
  <c r="E113" i="1"/>
  <c r="E112" i="1"/>
  <c r="E111" i="1"/>
  <c r="E199" i="1" l="1"/>
  <c r="E134" i="1" l="1"/>
  <c r="E16" i="1" l="1"/>
  <c r="E12" i="1" l="1"/>
  <c r="E13" i="1"/>
  <c r="E14" i="1"/>
  <c r="E15" i="1"/>
  <c r="E198" i="1" l="1"/>
  <c r="E197" i="1"/>
  <c r="E196" i="1"/>
  <c r="E195" i="1"/>
  <c r="E133" i="1" l="1"/>
  <c r="E132" i="1"/>
  <c r="E131" i="1"/>
  <c r="E130" i="1"/>
  <c r="E7" i="1" l="1"/>
  <c r="E6" i="1"/>
  <c r="E5" i="1"/>
  <c r="E4" i="1"/>
  <c r="F44" i="1" l="1"/>
  <c r="D44" i="1"/>
  <c r="F41" i="1" l="1"/>
  <c r="D41" i="1"/>
  <c r="F42" i="1"/>
  <c r="D42" i="1"/>
  <c r="F43" i="1"/>
  <c r="D43" i="1" l="1"/>
</calcChain>
</file>

<file path=xl/sharedStrings.xml><?xml version="1.0" encoding="utf-8"?>
<sst xmlns="http://schemas.openxmlformats.org/spreadsheetml/2006/main" count="425" uniqueCount="159">
  <si>
    <t>AK</t>
  </si>
  <si>
    <t>total_enrollment</t>
  </si>
  <si>
    <t>expansion_enrollment</t>
  </si>
  <si>
    <t>AZ</t>
  </si>
  <si>
    <t>CO</t>
  </si>
  <si>
    <t>CT</t>
  </si>
  <si>
    <t>IA</t>
  </si>
  <si>
    <t>raw/[filename]</t>
  </si>
  <si>
    <t>KY</t>
  </si>
  <si>
    <t>ky_may</t>
  </si>
  <si>
    <t>ky_april</t>
  </si>
  <si>
    <t>ky_march</t>
  </si>
  <si>
    <t>LA</t>
  </si>
  <si>
    <t>ME</t>
  </si>
  <si>
    <t>MN</t>
  </si>
  <si>
    <t>dashboard</t>
  </si>
  <si>
    <t>NH</t>
  </si>
  <si>
    <t>nh_may</t>
  </si>
  <si>
    <t>NM</t>
  </si>
  <si>
    <t>NC</t>
  </si>
  <si>
    <t>VA</t>
  </si>
  <si>
    <t>va_may</t>
  </si>
  <si>
    <t>WA</t>
  </si>
  <si>
    <t>WI</t>
  </si>
  <si>
    <t>wi_may</t>
  </si>
  <si>
    <t>az_may</t>
  </si>
  <si>
    <t>ky_feb</t>
  </si>
  <si>
    <t>FL</t>
  </si>
  <si>
    <t>fl_march</t>
  </si>
  <si>
    <t>date_enrollment</t>
  </si>
  <si>
    <t>state</t>
  </si>
  <si>
    <t>expansion</t>
  </si>
  <si>
    <t>ia_april</t>
  </si>
  <si>
    <t>ia_march</t>
  </si>
  <si>
    <t>ia_feb</t>
  </si>
  <si>
    <t>ia_may</t>
  </si>
  <si>
    <t>KS</t>
  </si>
  <si>
    <t>MO</t>
  </si>
  <si>
    <t>PA</t>
  </si>
  <si>
    <t>pa_march</t>
  </si>
  <si>
    <t>ct_april</t>
  </si>
  <si>
    <t>ak_feb</t>
  </si>
  <si>
    <t>ak_march</t>
  </si>
  <si>
    <t>ak_may</t>
  </si>
  <si>
    <t>pa_april</t>
  </si>
  <si>
    <t>co_may</t>
  </si>
  <si>
    <t>fl_april</t>
  </si>
  <si>
    <t>ks_april</t>
  </si>
  <si>
    <t>narrow_enrollment</t>
  </si>
  <si>
    <t>ak_jan</t>
  </si>
  <si>
    <t>nc_may</t>
  </si>
  <si>
    <t>nm_may</t>
  </si>
  <si>
    <t>IN</t>
  </si>
  <si>
    <t>in_april</t>
  </si>
  <si>
    <t>in_march</t>
  </si>
  <si>
    <t>in_feb</t>
  </si>
  <si>
    <t>in_jan</t>
  </si>
  <si>
    <t>ak_june</t>
  </si>
  <si>
    <t>az_june</t>
  </si>
  <si>
    <t>ky_june</t>
  </si>
  <si>
    <t>nm_june</t>
  </si>
  <si>
    <t>wi_june</t>
  </si>
  <si>
    <t>MD</t>
  </si>
  <si>
    <t>md_may</t>
  </si>
  <si>
    <t>MS</t>
  </si>
  <si>
    <t>ms_may</t>
  </si>
  <si>
    <t>NY</t>
  </si>
  <si>
    <t>ny_feb</t>
  </si>
  <si>
    <t>ny_march</t>
  </si>
  <si>
    <t>ny_april</t>
  </si>
  <si>
    <t>ny_may</t>
  </si>
  <si>
    <t>WV</t>
  </si>
  <si>
    <t>wv_june</t>
  </si>
  <si>
    <t>az_2019</t>
  </si>
  <si>
    <t>fl_2019</t>
  </si>
  <si>
    <t>ia_june</t>
  </si>
  <si>
    <t>ia_2019</t>
  </si>
  <si>
    <t>in_2019</t>
  </si>
  <si>
    <t>ks_2019</t>
  </si>
  <si>
    <t>mo_june</t>
  </si>
  <si>
    <t>nc_june</t>
  </si>
  <si>
    <t>ms_2019</t>
  </si>
  <si>
    <t>nc_2019</t>
  </si>
  <si>
    <t>nh_april</t>
  </si>
  <si>
    <t>nm_2019</t>
  </si>
  <si>
    <t>ny_2019</t>
  </si>
  <si>
    <t>va_june</t>
  </si>
  <si>
    <t>co_june</t>
  </si>
  <si>
    <t>ct_may</t>
  </si>
  <si>
    <t>NJ</t>
  </si>
  <si>
    <t>nj_2019</t>
  </si>
  <si>
    <t>nj_jan</t>
  </si>
  <si>
    <t>nj_feb</t>
  </si>
  <si>
    <t>nj_march</t>
  </si>
  <si>
    <t>nj_april</t>
  </si>
  <si>
    <t>nj_may</t>
  </si>
  <si>
    <t>pa_may</t>
  </si>
  <si>
    <t>IL</t>
  </si>
  <si>
    <t>il_feb</t>
  </si>
  <si>
    <t>il_march</t>
  </si>
  <si>
    <t>il_april</t>
  </si>
  <si>
    <t>il_may</t>
  </si>
  <si>
    <t>ak_april2019</t>
  </si>
  <si>
    <t>ak_june2019</t>
  </si>
  <si>
    <t>TN</t>
  </si>
  <si>
    <t>tn_april</t>
  </si>
  <si>
    <t>tn_may</t>
  </si>
  <si>
    <t>tn_may2019</t>
  </si>
  <si>
    <t>tn_march</t>
  </si>
  <si>
    <t>tn_feb</t>
  </si>
  <si>
    <t>tn_june2019</t>
  </si>
  <si>
    <t>MI</t>
  </si>
  <si>
    <t>disability</t>
  </si>
  <si>
    <t>adult</t>
  </si>
  <si>
    <t>child</t>
  </si>
  <si>
    <t>OK</t>
  </si>
  <si>
    <t>ok_may</t>
  </si>
  <si>
    <t>ok_apr</t>
  </si>
  <si>
    <t>ok_march</t>
  </si>
  <si>
    <t>ok_feb</t>
  </si>
  <si>
    <t>ok_jan</t>
  </si>
  <si>
    <t>ok_apr2019</t>
  </si>
  <si>
    <t>ok_may2019</t>
  </si>
  <si>
    <t>OR</t>
  </si>
  <si>
    <t>or_feb</t>
  </si>
  <si>
    <t>or_march</t>
  </si>
  <si>
    <t>or_april</t>
  </si>
  <si>
    <t>or_may</t>
  </si>
  <si>
    <t>or_jan</t>
  </si>
  <si>
    <t>or_aprl2019</t>
  </si>
  <si>
    <t>or_may2019</t>
  </si>
  <si>
    <t>SD</t>
  </si>
  <si>
    <t>sd_april</t>
  </si>
  <si>
    <t>sd_march</t>
  </si>
  <si>
    <t>sd_feb</t>
  </si>
  <si>
    <t>sd_jan</t>
  </si>
  <si>
    <t>sd_may2019</t>
  </si>
  <si>
    <t>sd_april2019</t>
  </si>
  <si>
    <t>TX</t>
  </si>
  <si>
    <t>tx_april</t>
  </si>
  <si>
    <t>in_may</t>
  </si>
  <si>
    <t>ks_may</t>
  </si>
  <si>
    <t>MT</t>
  </si>
  <si>
    <t>may dashboard</t>
  </si>
  <si>
    <t>april dashboard</t>
  </si>
  <si>
    <t>march dashboard</t>
  </si>
  <si>
    <t>february dashboard</t>
  </si>
  <si>
    <t>june 2019 dash</t>
  </si>
  <si>
    <t>may 2019 dash</t>
  </si>
  <si>
    <t>elderly</t>
  </si>
  <si>
    <t>ak_july</t>
  </si>
  <si>
    <t>az_july</t>
  </si>
  <si>
    <t>ky_july</t>
  </si>
  <si>
    <t>me_july</t>
  </si>
  <si>
    <t>mn_july</t>
  </si>
  <si>
    <t>co_july</t>
  </si>
  <si>
    <t>ct_june</t>
  </si>
  <si>
    <t>report_date</t>
  </si>
  <si>
    <t>fl_may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</si>
</sst>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Arial MT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8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5" fillId="0" borderId="0"/>
    <xf numFmtId="3" fontId="4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 wrapText="1"/>
    </xf>
    <xf numFmtId="3" fontId="2" fillId="0" borderId="0" xfId="0" applyNumberFormat="1" applyFont="1" applyBorder="1"/>
    <xf numFmtId="164" fontId="0" fillId="0" borderId="1" xfId="1" applyNumberFormat="1" applyFont="1" applyBorder="1"/>
    <xf numFmtId="164" fontId="0" fillId="0" borderId="0" xfId="1" applyNumberFormat="1" applyFont="1" applyBorder="1"/>
  </cellXfs>
  <cellStyles count="88">
    <cellStyle name="Comma" xfId="1" builtinId="3"/>
    <cellStyle name="Comma 2" xfId="25" xr:uid="{9A6D4E82-868E-454B-AAB7-EA914FDD9232}"/>
    <cellStyle name="Normal" xfId="0" builtinId="0"/>
    <cellStyle name="Normal 10" xfId="23" xr:uid="{5E893ACD-1E33-4834-AC7C-5F0F3168354D}"/>
    <cellStyle name="Normal 10 2" xfId="62" xr:uid="{41EA6314-D23B-46C6-9E13-2D474D893F1B}"/>
    <cellStyle name="Normal 11" xfId="34" xr:uid="{6362FF46-B3B6-42AA-8C3A-814486AC0A62}"/>
    <cellStyle name="Normal 11 2" xfId="71" xr:uid="{17C486C4-CB80-4E04-88DF-6AA7C835BAEA}"/>
    <cellStyle name="Normal 12" xfId="46" xr:uid="{F8C3AD1B-8DF3-4C46-ABCC-92897227F061}"/>
    <cellStyle name="Normal 12 2" xfId="48" xr:uid="{7E3B2E43-1616-471F-9D31-E61D22215C34}"/>
    <cellStyle name="Normal 13" xfId="53" xr:uid="{17B69958-CA90-41B5-AFCA-DF8D90753E9C}"/>
    <cellStyle name="Normal 14" xfId="82" xr:uid="{EF7AC6D5-E344-4804-ABC9-A344E8694141}"/>
    <cellStyle name="Normal 15" xfId="2" xr:uid="{7F4B0905-3EAE-4DF6-8B88-735653027A04}"/>
    <cellStyle name="Normal 2" xfId="3" xr:uid="{E7F898A7-A677-49D2-BB4F-1B72E4A61E7D}"/>
    <cellStyle name="Normal 2 2" xfId="5" xr:uid="{C78318AD-EB81-42A9-AB53-35AD5D599C8F}"/>
    <cellStyle name="Normal 2 2 10" xfId="44" xr:uid="{53B15409-E9BF-4A20-B974-2D0FE0AD4C2E}"/>
    <cellStyle name="Normal 2 2 11" xfId="49" xr:uid="{A690F932-074B-4637-B1B4-C13CF381A560}"/>
    <cellStyle name="Normal 2 2 12" xfId="78" xr:uid="{BC583A39-8587-4676-A4BE-48C8F3BE46AC}"/>
    <cellStyle name="Normal 2 2 13" xfId="80" xr:uid="{01F64C46-702E-4ED6-97DD-D6EB727F64CF}"/>
    <cellStyle name="Normal 2 2 2" xfId="6" xr:uid="{EFC7EA3D-9857-4701-9DA9-665246A18717}"/>
    <cellStyle name="Normal 2 2 2 10" xfId="84" xr:uid="{766B703C-060D-4F06-8255-B2F4E6C86E9D}"/>
    <cellStyle name="Normal 2 2 2 11" xfId="86" xr:uid="{AA6047CF-6B0D-4D10-B82A-C73523C93705}"/>
    <cellStyle name="Normal 2 2 2 2" xfId="15" xr:uid="{B0A37940-9F4B-4A4C-8E19-5AC15739F54A}"/>
    <cellStyle name="Normal 2 2 2 3" xfId="26" xr:uid="{E16BDE59-C3E6-4920-A7C9-DFAD024CBB55}"/>
    <cellStyle name="Normal 2 2 2 3 2" xfId="63" xr:uid="{A785CA23-538C-48E8-B71D-3074ECA454C9}"/>
    <cellStyle name="Normal 2 2 2 4" xfId="29" xr:uid="{BE2CFAA3-FD2E-4D7C-8CE9-535856E8AA0D}"/>
    <cellStyle name="Normal 2 2 2 4 2" xfId="66" xr:uid="{E4190AB3-A767-47EF-ABA0-6F048038DD48}"/>
    <cellStyle name="Normal 2 2 2 5" xfId="36" xr:uid="{239B9938-1F64-48CA-8162-6E0DFF018AE6}"/>
    <cellStyle name="Normal 2 2 2 5 2" xfId="73" xr:uid="{F7D78613-A635-4AB4-8C61-1D07AAF305DD}"/>
    <cellStyle name="Normal 2 2 2 6" xfId="40" xr:uid="{C54706C2-B539-4AB3-A5C4-EB6D07FB0244}"/>
    <cellStyle name="Normal 2 2 2 6 2" xfId="77" xr:uid="{A2039470-F358-4BD0-936B-AFA63CE7B5D1}"/>
    <cellStyle name="Normal 2 2 2 7" xfId="43" xr:uid="{67292D14-7AA2-4BC8-8EC7-A6D32326D8CF}"/>
    <cellStyle name="Normal 2 2 2 8" xfId="51" xr:uid="{6C26AB1B-9907-4D0F-BE3D-38C07A664627}"/>
    <cellStyle name="Normal 2 2 2 9" xfId="55" xr:uid="{59DE9E21-1C79-4D35-B09B-EE4672F8F65E}"/>
    <cellStyle name="Normal 2 2 3" xfId="16" xr:uid="{8CA7B4C4-BF87-4B0A-B21C-46C527D610DE}"/>
    <cellStyle name="Normal 2 2 3 2" xfId="58" xr:uid="{5EEF8A88-367B-4707-B57D-B9B83EE6145E}"/>
    <cellStyle name="Normal 2 2 4" xfId="19" xr:uid="{515141D7-2089-41AE-94BB-0F7D4B73787C}"/>
    <cellStyle name="Normal 2 2 4 2" xfId="60" xr:uid="{346E5E29-F7D9-4939-A752-EA188B8CD42B}"/>
    <cellStyle name="Normal 2 2 5" xfId="27" xr:uid="{CB014D39-5DAD-45F1-AC06-CCD5B4182AD5}"/>
    <cellStyle name="Normal 2 2 5 2" xfId="64" xr:uid="{EE7BC258-0C82-4BEC-B3BD-75E3883640DB}"/>
    <cellStyle name="Normal 2 2 6" xfId="31" xr:uid="{F5F777C8-4079-41A6-8BB2-D185F9A65C05}"/>
    <cellStyle name="Normal 2 2 6 2" xfId="68" xr:uid="{1739411C-B655-42E3-BD9D-4E823B22501F}"/>
    <cellStyle name="Normal 2 2 7" xfId="32" xr:uid="{E1691100-54DB-4A2C-90C6-22F7DEA5CC27}"/>
    <cellStyle name="Normal 2 2 7 2" xfId="69" xr:uid="{0A106817-EE29-416D-9F1F-CB53B88CA6A3}"/>
    <cellStyle name="Normal 2 2 8" xfId="38" xr:uid="{16132F8D-49E6-4494-9445-D043962F630E}"/>
    <cellStyle name="Normal 2 2 8 2" xfId="75" xr:uid="{D45BE243-8430-4246-BCE5-13827429B6DB}"/>
    <cellStyle name="Normal 2 2 9" xfId="41" xr:uid="{C4FFCEA8-9664-42F7-9918-ED1C56ED9C5B}"/>
    <cellStyle name="Normal 2 3" xfId="7" xr:uid="{A3C471C5-C72A-4A2A-87C2-B81468D91461}"/>
    <cellStyle name="Normal 2 4" xfId="11" xr:uid="{BD956C3E-96B1-49CD-86AF-F9C79EECE679}"/>
    <cellStyle name="Normal 2 4 10" xfId="50" xr:uid="{9506436A-4437-48B7-93FB-D26B09C6EECC}"/>
    <cellStyle name="Normal 2 4 11" xfId="56" xr:uid="{240E9365-4D18-4139-BF7F-1DD7813FB2A7}"/>
    <cellStyle name="Normal 2 4 12" xfId="79" xr:uid="{50497FDC-8698-4CA8-A13C-83DAEBC5ADA2}"/>
    <cellStyle name="Normal 2 4 13" xfId="81" xr:uid="{7C992609-4710-4A41-A4D4-114FE5FA6897}"/>
    <cellStyle name="Normal 2 4 14" xfId="85" xr:uid="{629B7CEF-A8FF-4233-8067-F6494C4CCD61}"/>
    <cellStyle name="Normal 2 4 2" xfId="22" xr:uid="{D638D0A3-8EE8-4F2B-AF21-D931C0CD5B86}"/>
    <cellStyle name="Normal 2 4 2 2" xfId="61" xr:uid="{D7E55BCA-50C0-4160-9BEE-D93270B99A9B}"/>
    <cellStyle name="Normal 2 4 2 3" xfId="87" xr:uid="{BF24EC08-959E-4684-BFA2-57BBCF659D25}"/>
    <cellStyle name="Normal 2 4 3" xfId="28" xr:uid="{C1D0E538-668B-4266-AB37-00178EF23BB2}"/>
    <cellStyle name="Normal 2 4 3 2" xfId="65" xr:uid="{898A4077-1AD3-41A2-AF86-F057934F44B7}"/>
    <cellStyle name="Normal 2 4 4" xfId="30" xr:uid="{CF45C356-F7FF-497F-8D88-24A74B5D4F33}"/>
    <cellStyle name="Normal 2 4 4 2" xfId="67" xr:uid="{CD7BEB3D-D437-455E-B7E1-1A20CA5E3CB9}"/>
    <cellStyle name="Normal 2 4 5" xfId="33" xr:uid="{B9965835-AA32-4030-8515-FA701F3463E7}"/>
    <cellStyle name="Normal 2 4 5 2" xfId="70" xr:uid="{3FD1B131-0200-4D4B-93B0-63CE3118E54F}"/>
    <cellStyle name="Normal 2 4 6" xfId="37" xr:uid="{53F894C6-EA71-43AB-B0F8-BBCA1329955E}"/>
    <cellStyle name="Normal 2 4 6 2" xfId="74" xr:uid="{369D37AA-7551-4A17-AA0E-7265F8788A29}"/>
    <cellStyle name="Normal 2 4 7" xfId="39" xr:uid="{3B251C13-FCEE-48FC-B486-A1C184E94A07}"/>
    <cellStyle name="Normal 2 4 7 2" xfId="76" xr:uid="{3EAAE621-E7D5-4570-B986-F10C970CEDD2}"/>
    <cellStyle name="Normal 2 4 8" xfId="42" xr:uid="{2B2D416A-AAA6-4B09-B982-1A38F31FAA4B}"/>
    <cellStyle name="Normal 2 4 9" xfId="45" xr:uid="{E2BC7179-4F19-4769-8B8C-6E583B08CEEF}"/>
    <cellStyle name="Normal 2 5" xfId="35" xr:uid="{BC172584-174F-42EC-96F1-411879E79F58}"/>
    <cellStyle name="Normal 2 5 2" xfId="72" xr:uid="{E8024E36-F99C-4EED-A779-11417DC96D69}"/>
    <cellStyle name="Normal 2 6" xfId="52" xr:uid="{3E07FA6A-476B-4003-B197-AD7AFF2EEBDD}"/>
    <cellStyle name="Normal 2 7" xfId="83" xr:uid="{145D6C11-2B03-4E0A-A697-729E0B3B67B7}"/>
    <cellStyle name="Normal 3" xfId="4" xr:uid="{C179BECF-A2ED-4786-B44D-F5CAF5BAF9A2}"/>
    <cellStyle name="Normal 3 2" xfId="12" xr:uid="{C5D0262E-0585-415A-9415-B1824D48569F}"/>
    <cellStyle name="Normal 3 3" xfId="47" xr:uid="{7F86160E-F661-4AE5-A736-4225628454A3}"/>
    <cellStyle name="Normal 3 3 2" xfId="57" xr:uid="{304A9C61-D9A7-49C7-9BE5-CF4440205853}"/>
    <cellStyle name="Normal 4" xfId="8" xr:uid="{10A08BDA-5747-439E-8FC6-E065B622DCA0}"/>
    <cellStyle name="Normal 4 2" xfId="13" xr:uid="{1F686127-FB9D-4950-80B1-53BBF6DE7086}"/>
    <cellStyle name="Normal 5" xfId="9" xr:uid="{BFADC084-3277-4E8A-8D9D-27FAFE8C026A}"/>
    <cellStyle name="Normal 6" xfId="10" xr:uid="{87D0D7FF-AACF-4721-B9D8-EA1777B7F05E}"/>
    <cellStyle name="Normal 6 2" xfId="24" xr:uid="{B244ACD6-8334-4D5A-BE93-12D849C7C62B}"/>
    <cellStyle name="Normal 6 3" xfId="21" xr:uid="{8FF2841D-1EAD-44FF-982D-C5905AC3212C}"/>
    <cellStyle name="Normal 7" xfId="14" xr:uid="{0F8D077C-40F8-442E-BEEF-2B7371CA298B}"/>
    <cellStyle name="Normal 7 2" xfId="54" xr:uid="{598BEB4E-A0E9-4451-BFC9-FA5FD9757ADB}"/>
    <cellStyle name="Normal 8" xfId="17" xr:uid="{9F9F8DD1-6823-488F-B21E-B6BE56C8833B}"/>
    <cellStyle name="Normal 9" xfId="18" xr:uid="{7DCE143B-E12D-45BA-8337-9119FA4A45D6}"/>
    <cellStyle name="Normal 9 2" xfId="59" xr:uid="{365BD8F7-2B30-4D4E-AE74-2ED44C89C4E7}"/>
    <cellStyle name="Percent 2" xfId="20" xr:uid="{F08D4104-9807-4BD2-93C7-5CD2531505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5F0C-4276-47DA-9C59-C6BC30CE408D}">
  <dimension ref="A1:L218"/>
  <sheetViews>
    <sheetView tabSelected="1" workbookViewId="0">
      <pane ySplit="1" topLeftCell="A2" activePane="bottomLeft" state="frozen"/>
      <selection pane="bottomLeft" activeCell="G26" sqref="G26"/>
    </sheetView>
  </sheetViews>
  <sheetFormatPr defaultRowHeight="15"/>
  <cols>
    <col min="1" max="1" width="17.85546875" style="2" bestFit="1" customWidth="1"/>
    <col min="3" max="3" width="12" bestFit="1" customWidth="1"/>
    <col min="4" max="4" width="16.7109375" style="1" bestFit="1" customWidth="1"/>
    <col min="5" max="5" width="16.7109375" style="1" customWidth="1"/>
    <col min="6" max="6" width="25.28515625" style="1" bestFit="1" customWidth="1"/>
    <col min="7" max="7" width="14.85546875" style="1" customWidth="1"/>
    <col min="8" max="9" width="16.140625" style="1" customWidth="1"/>
    <col min="10" max="10" width="12.28515625" style="1" customWidth="1"/>
    <col min="11" max="11" width="20" style="1" customWidth="1"/>
    <col min="12" max="12" width="18.28515625" customWidth="1"/>
  </cols>
  <sheetData>
    <row r="1" spans="1:12">
      <c r="A1" s="2" t="s">
        <v>29</v>
      </c>
      <c r="B1" t="s">
        <v>30</v>
      </c>
      <c r="C1" t="s">
        <v>31</v>
      </c>
      <c r="D1" s="1" t="s">
        <v>1</v>
      </c>
      <c r="E1" s="1" t="s">
        <v>48</v>
      </c>
      <c r="F1" s="1" t="s">
        <v>2</v>
      </c>
      <c r="G1" s="1" t="s">
        <v>113</v>
      </c>
      <c r="H1" s="1" t="s">
        <v>114</v>
      </c>
      <c r="I1" s="1" t="s">
        <v>149</v>
      </c>
      <c r="J1" s="1" t="s">
        <v>112</v>
      </c>
      <c r="K1" s="1" t="s">
        <v>7</v>
      </c>
      <c r="L1" s="1" t="s">
        <v>157</v>
      </c>
    </row>
    <row r="2" spans="1:12">
      <c r="A2" s="2">
        <v>43586</v>
      </c>
      <c r="B2" t="s">
        <v>0</v>
      </c>
      <c r="C2">
        <v>1</v>
      </c>
      <c r="D2" s="1">
        <v>215040</v>
      </c>
      <c r="E2" s="1">
        <f>215040-11169</f>
        <v>203871</v>
      </c>
      <c r="F2" s="1">
        <v>49962</v>
      </c>
      <c r="H2" s="1">
        <v>93885</v>
      </c>
      <c r="K2" s="1" t="s">
        <v>102</v>
      </c>
    </row>
    <row r="3" spans="1:12">
      <c r="A3" s="2">
        <v>43617</v>
      </c>
      <c r="B3" t="s">
        <v>0</v>
      </c>
      <c r="C3">
        <v>1</v>
      </c>
      <c r="D3" s="1">
        <v>215816</v>
      </c>
      <c r="E3" s="1">
        <f>D3-11218</f>
        <v>204598</v>
      </c>
      <c r="F3" s="1">
        <v>50426</v>
      </c>
      <c r="H3" s="1">
        <v>94066</v>
      </c>
      <c r="K3" s="1" t="s">
        <v>103</v>
      </c>
    </row>
    <row r="4" spans="1:12">
      <c r="A4" s="2">
        <v>43862</v>
      </c>
      <c r="B4" t="s">
        <v>0</v>
      </c>
      <c r="C4">
        <v>1</v>
      </c>
      <c r="D4" s="1">
        <v>219904</v>
      </c>
      <c r="E4" s="1">
        <f>95507+51638+24533+17873+18876</f>
        <v>208427</v>
      </c>
      <c r="F4" s="1">
        <v>52996</v>
      </c>
      <c r="K4" s="1" t="s">
        <v>49</v>
      </c>
    </row>
    <row r="5" spans="1:12">
      <c r="A5" s="2">
        <v>43891</v>
      </c>
      <c r="B5" t="s">
        <v>0</v>
      </c>
      <c r="C5">
        <v>1</v>
      </c>
      <c r="D5" s="1">
        <v>220626</v>
      </c>
      <c r="E5" s="1">
        <f>220626-11590</f>
        <v>209036</v>
      </c>
      <c r="F5" s="1">
        <v>53385</v>
      </c>
      <c r="K5" s="1" t="s">
        <v>41</v>
      </c>
    </row>
    <row r="6" spans="1:12">
      <c r="A6" s="2">
        <v>43922</v>
      </c>
      <c r="B6" t="s">
        <v>0</v>
      </c>
      <c r="C6">
        <v>1</v>
      </c>
      <c r="D6" s="1">
        <v>220626</v>
      </c>
      <c r="E6" s="1">
        <f>220626-11590</f>
        <v>209036</v>
      </c>
      <c r="F6" s="1">
        <v>53680</v>
      </c>
      <c r="K6" s="1" t="s">
        <v>42</v>
      </c>
    </row>
    <row r="7" spans="1:12">
      <c r="A7" s="2">
        <v>43952</v>
      </c>
      <c r="B7" t="s">
        <v>0</v>
      </c>
      <c r="C7">
        <v>1</v>
      </c>
      <c r="D7" s="1">
        <v>224751</v>
      </c>
      <c r="E7" s="1">
        <f>224751-12072</f>
        <v>212679</v>
      </c>
      <c r="F7" s="1">
        <v>54923</v>
      </c>
      <c r="K7" s="1" t="s">
        <v>43</v>
      </c>
    </row>
    <row r="8" spans="1:12">
      <c r="A8" s="2">
        <v>43983</v>
      </c>
      <c r="B8" t="s">
        <v>0</v>
      </c>
      <c r="C8">
        <v>1</v>
      </c>
      <c r="D8" s="1">
        <v>227675</v>
      </c>
      <c r="E8" s="1">
        <v>215422</v>
      </c>
      <c r="F8" s="1">
        <v>56847</v>
      </c>
      <c r="K8" s="1" t="s">
        <v>57</v>
      </c>
    </row>
    <row r="9" spans="1:12">
      <c r="A9" s="2">
        <v>44013</v>
      </c>
      <c r="B9" t="s">
        <v>0</v>
      </c>
      <c r="C9">
        <v>1</v>
      </c>
      <c r="D9" s="1">
        <v>228735</v>
      </c>
      <c r="E9" s="1">
        <f>G9+H9</f>
        <v>216269</v>
      </c>
      <c r="F9" s="1">
        <v>58663</v>
      </c>
      <c r="G9" s="1">
        <f>54931+26828+18609+19728</f>
        <v>120096</v>
      </c>
      <c r="H9" s="1">
        <v>96173</v>
      </c>
      <c r="I9" s="1">
        <v>12466</v>
      </c>
      <c r="J9" s="1">
        <f>0.07*D9</f>
        <v>16011.45</v>
      </c>
      <c r="K9" s="1" t="s">
        <v>150</v>
      </c>
    </row>
    <row r="10" spans="1:12">
      <c r="A10" s="2">
        <v>43586</v>
      </c>
      <c r="B10" t="s">
        <v>3</v>
      </c>
      <c r="C10">
        <v>1</v>
      </c>
      <c r="D10" s="1">
        <v>1876881</v>
      </c>
      <c r="E10" s="1">
        <f>250649+44827+71962+634002+18151+320253+77488+34316</f>
        <v>1451648</v>
      </c>
      <c r="F10" s="1">
        <v>77488</v>
      </c>
      <c r="K10" s="1" t="s">
        <v>73</v>
      </c>
    </row>
    <row r="11" spans="1:12">
      <c r="A11" s="2">
        <v>43617</v>
      </c>
      <c r="B11" t="s">
        <v>3</v>
      </c>
      <c r="C11">
        <v>1</v>
      </c>
      <c r="D11" s="1">
        <v>1872169</v>
      </c>
      <c r="E11" s="1">
        <f>249668+44932+71373+631594+17902+319925+76825+34318</f>
        <v>1446537</v>
      </c>
      <c r="F11" s="1">
        <v>76825</v>
      </c>
      <c r="K11" s="1" t="s">
        <v>73</v>
      </c>
    </row>
    <row r="12" spans="1:12">
      <c r="A12" s="2">
        <v>43862</v>
      </c>
      <c r="B12" t="s">
        <v>3</v>
      </c>
      <c r="C12">
        <v>1</v>
      </c>
      <c r="D12" s="1">
        <v>1875633</v>
      </c>
      <c r="E12" s="1">
        <f>242973+45502+82978+617382+17526+330085+74471+35749</f>
        <v>1446666</v>
      </c>
      <c r="F12" s="1">
        <v>74471</v>
      </c>
      <c r="K12" s="1" t="s">
        <v>25</v>
      </c>
    </row>
    <row r="13" spans="1:12">
      <c r="A13" s="2">
        <v>43891</v>
      </c>
      <c r="B13" t="s">
        <v>3</v>
      </c>
      <c r="C13">
        <v>1</v>
      </c>
      <c r="D13" s="1">
        <v>1878960</v>
      </c>
      <c r="E13" s="1">
        <f>242310+45669+83584+616952+17641+331940+74736+36644</f>
        <v>1449476</v>
      </c>
      <c r="F13" s="1">
        <v>74736</v>
      </c>
      <c r="K13" s="1" t="s">
        <v>25</v>
      </c>
    </row>
    <row r="14" spans="1:12">
      <c r="A14" s="2">
        <v>43922</v>
      </c>
      <c r="B14" t="s">
        <v>3</v>
      </c>
      <c r="C14">
        <v>1</v>
      </c>
      <c r="D14" s="1">
        <v>1922002</v>
      </c>
      <c r="E14" s="1">
        <f>246151+46584+87515+632312+19894+340549+76121+37941</f>
        <v>1487067</v>
      </c>
      <c r="F14" s="1">
        <v>76121</v>
      </c>
      <c r="K14" s="1" t="s">
        <v>25</v>
      </c>
    </row>
    <row r="15" spans="1:12">
      <c r="A15" s="2">
        <v>43952</v>
      </c>
      <c r="B15" t="s">
        <v>3</v>
      </c>
      <c r="C15">
        <v>1</v>
      </c>
      <c r="D15" s="1">
        <v>1956977</v>
      </c>
      <c r="E15" s="1">
        <f>254666+46741+87289+643176+19426+349161+81411+38359</f>
        <v>1520229</v>
      </c>
      <c r="F15" s="1">
        <v>81411</v>
      </c>
      <c r="K15" s="1" t="s">
        <v>25</v>
      </c>
    </row>
    <row r="16" spans="1:12">
      <c r="A16" s="2">
        <v>43983</v>
      </c>
      <c r="B16" t="s">
        <v>3</v>
      </c>
      <c r="C16">
        <v>1</v>
      </c>
      <c r="D16" s="1">
        <v>1994632</v>
      </c>
      <c r="E16" s="1">
        <f>261304+46961+91793+647414+17697+359941+89849+40216</f>
        <v>1555175</v>
      </c>
      <c r="F16" s="1">
        <v>89849</v>
      </c>
      <c r="K16" s="1" t="s">
        <v>58</v>
      </c>
    </row>
    <row r="17" spans="1:11">
      <c r="A17" s="2">
        <v>44013</v>
      </c>
      <c r="B17" t="s">
        <v>3</v>
      </c>
      <c r="C17">
        <v>1</v>
      </c>
      <c r="D17" s="1">
        <v>2018356</v>
      </c>
      <c r="E17" s="1">
        <f>262479+47539+98019+649583+17371+363240+97837+41053</f>
        <v>1577121</v>
      </c>
      <c r="F17" s="1">
        <v>97837</v>
      </c>
      <c r="K17" s="1" t="s">
        <v>151</v>
      </c>
    </row>
    <row r="18" spans="1:11">
      <c r="A18" s="2">
        <v>43586</v>
      </c>
      <c r="B18" t="s">
        <v>4</v>
      </c>
      <c r="C18">
        <v>1</v>
      </c>
      <c r="D18" s="1">
        <v>1230860</v>
      </c>
      <c r="E18" s="1">
        <v>1058752</v>
      </c>
      <c r="F18" s="1">
        <v>317866</v>
      </c>
      <c r="K18" s="1" t="s">
        <v>45</v>
      </c>
    </row>
    <row r="19" spans="1:11">
      <c r="A19" s="2">
        <v>43617</v>
      </c>
      <c r="B19" t="s">
        <v>4</v>
      </c>
      <c r="C19">
        <v>1</v>
      </c>
      <c r="D19" s="1">
        <v>1230374</v>
      </c>
      <c r="E19" s="1">
        <v>1057843</v>
      </c>
      <c r="F19" s="1">
        <v>318368</v>
      </c>
      <c r="K19" s="1" t="s">
        <v>45</v>
      </c>
    </row>
    <row r="20" spans="1:11">
      <c r="A20" s="2">
        <v>43862</v>
      </c>
      <c r="B20" t="s">
        <v>4</v>
      </c>
      <c r="C20">
        <v>1</v>
      </c>
      <c r="D20" s="1">
        <v>1198332</v>
      </c>
      <c r="E20" s="1">
        <v>1028314</v>
      </c>
      <c r="F20" s="1">
        <v>315372</v>
      </c>
      <c r="K20" s="1" t="s">
        <v>45</v>
      </c>
    </row>
    <row r="21" spans="1:11">
      <c r="A21" s="2">
        <v>43891</v>
      </c>
      <c r="B21" t="s">
        <v>4</v>
      </c>
      <c r="C21">
        <v>1</v>
      </c>
      <c r="D21" s="1">
        <v>1193435</v>
      </c>
      <c r="E21" s="1">
        <v>1024703</v>
      </c>
      <c r="F21" s="1">
        <v>315302</v>
      </c>
      <c r="K21" s="1" t="s">
        <v>45</v>
      </c>
    </row>
    <row r="22" spans="1:11">
      <c r="A22" s="2">
        <v>43922</v>
      </c>
      <c r="B22" t="s">
        <v>4</v>
      </c>
      <c r="C22">
        <v>1</v>
      </c>
      <c r="D22" s="1">
        <v>1189613</v>
      </c>
      <c r="E22" s="1">
        <v>1020416</v>
      </c>
      <c r="F22" s="1">
        <v>313931</v>
      </c>
      <c r="K22" s="1" t="s">
        <v>45</v>
      </c>
    </row>
    <row r="23" spans="1:11">
      <c r="A23" s="2">
        <v>43952</v>
      </c>
      <c r="B23" t="s">
        <v>4</v>
      </c>
      <c r="C23">
        <v>1</v>
      </c>
      <c r="D23" s="1">
        <v>1219436</v>
      </c>
      <c r="E23" s="1">
        <v>1048230</v>
      </c>
      <c r="F23" s="1">
        <v>327329</v>
      </c>
      <c r="K23" s="1" t="s">
        <v>45</v>
      </c>
    </row>
    <row r="24" spans="1:11">
      <c r="A24" s="2">
        <v>43983</v>
      </c>
      <c r="B24" t="s">
        <v>4</v>
      </c>
      <c r="C24">
        <v>1</v>
      </c>
      <c r="D24" s="1">
        <v>1254304</v>
      </c>
      <c r="E24" s="1">
        <v>1081704</v>
      </c>
      <c r="F24" s="1">
        <v>340281</v>
      </c>
      <c r="K24" s="1" t="s">
        <v>87</v>
      </c>
    </row>
    <row r="25" spans="1:11">
      <c r="A25" s="2">
        <v>44013</v>
      </c>
      <c r="B25" t="s">
        <v>4</v>
      </c>
      <c r="C25">
        <v>1</v>
      </c>
      <c r="D25" s="1">
        <v>1277431</v>
      </c>
      <c r="E25" s="1">
        <v>1103584</v>
      </c>
      <c r="F25" s="1">
        <v>348982</v>
      </c>
      <c r="K25" s="1" t="s">
        <v>155</v>
      </c>
    </row>
    <row r="26" spans="1:11">
      <c r="A26" s="2">
        <v>43586</v>
      </c>
      <c r="B26" t="s">
        <v>5</v>
      </c>
      <c r="C26">
        <v>1</v>
      </c>
      <c r="D26" s="1">
        <v>1048962</v>
      </c>
      <c r="E26" s="1">
        <v>769606</v>
      </c>
      <c r="F26" s="1">
        <v>267578</v>
      </c>
      <c r="K26" s="1" t="s">
        <v>40</v>
      </c>
    </row>
    <row r="27" spans="1:11">
      <c r="A27" s="2">
        <v>43617</v>
      </c>
      <c r="B27" t="s">
        <v>5</v>
      </c>
      <c r="C27">
        <v>1</v>
      </c>
      <c r="D27" s="1">
        <v>1049294</v>
      </c>
      <c r="E27" s="1">
        <v>770093</v>
      </c>
      <c r="F27" s="1">
        <v>267382</v>
      </c>
      <c r="K27" s="1" t="s">
        <v>88</v>
      </c>
    </row>
    <row r="28" spans="1:11">
      <c r="A28" s="2">
        <v>43862</v>
      </c>
      <c r="B28" t="s">
        <v>5</v>
      </c>
      <c r="C28">
        <v>1</v>
      </c>
      <c r="D28" s="1">
        <v>1039041</v>
      </c>
      <c r="E28" s="1">
        <v>758294</v>
      </c>
      <c r="F28" s="1">
        <v>264204</v>
      </c>
      <c r="K28" s="1" t="s">
        <v>88</v>
      </c>
    </row>
    <row r="29" spans="1:11">
      <c r="A29" s="2">
        <v>43891</v>
      </c>
      <c r="B29" t="s">
        <v>5</v>
      </c>
      <c r="C29">
        <v>1</v>
      </c>
      <c r="D29" s="1">
        <v>1036586</v>
      </c>
      <c r="E29" s="1">
        <v>756581</v>
      </c>
      <c r="F29" s="1">
        <v>263234</v>
      </c>
      <c r="K29" s="1" t="s">
        <v>88</v>
      </c>
    </row>
    <row r="30" spans="1:11">
      <c r="A30" s="2">
        <v>43922</v>
      </c>
      <c r="B30" t="s">
        <v>5</v>
      </c>
      <c r="C30">
        <v>1</v>
      </c>
      <c r="D30" s="1">
        <v>1038256</v>
      </c>
      <c r="E30" s="1">
        <v>758868</v>
      </c>
      <c r="F30" s="1">
        <v>264945</v>
      </c>
      <c r="K30" s="1" t="s">
        <v>88</v>
      </c>
    </row>
    <row r="31" spans="1:11">
      <c r="A31" s="2">
        <v>43952</v>
      </c>
      <c r="B31" t="s">
        <v>5</v>
      </c>
      <c r="C31">
        <v>1</v>
      </c>
      <c r="D31" s="1">
        <v>1054120</v>
      </c>
      <c r="E31" s="1">
        <v>774829</v>
      </c>
      <c r="F31" s="1">
        <v>273995</v>
      </c>
      <c r="K31" s="1" t="s">
        <v>156</v>
      </c>
    </row>
    <row r="32" spans="1:11">
      <c r="A32" s="2">
        <v>43983</v>
      </c>
      <c r="B32" t="s">
        <v>5</v>
      </c>
      <c r="C32">
        <v>1</v>
      </c>
      <c r="D32" s="1">
        <v>1061046</v>
      </c>
      <c r="E32" s="1">
        <v>783564</v>
      </c>
      <c r="F32" s="1">
        <v>277405</v>
      </c>
      <c r="K32" s="1" t="s">
        <v>156</v>
      </c>
    </row>
    <row r="33" spans="1:11">
      <c r="A33" s="2">
        <v>44013</v>
      </c>
      <c r="B33" t="s">
        <v>5</v>
      </c>
      <c r="C33">
        <v>1</v>
      </c>
      <c r="D33" s="1">
        <v>1065428</v>
      </c>
      <c r="E33" s="1">
        <v>789598</v>
      </c>
      <c r="F33" s="1">
        <v>279579</v>
      </c>
      <c r="K33" s="1" t="s">
        <v>156</v>
      </c>
    </row>
    <row r="34" spans="1:11">
      <c r="A34" s="2">
        <v>43586</v>
      </c>
      <c r="B34" t="s">
        <v>27</v>
      </c>
      <c r="C34">
        <v>0</v>
      </c>
      <c r="D34" s="1">
        <v>3816268</v>
      </c>
      <c r="E34" s="1">
        <v>2589963</v>
      </c>
      <c r="H34" s="1">
        <v>2004758</v>
      </c>
      <c r="K34" s="1" t="s">
        <v>74</v>
      </c>
    </row>
    <row r="35" spans="1:11">
      <c r="A35" s="2">
        <v>43862</v>
      </c>
      <c r="B35" t="s">
        <v>27</v>
      </c>
      <c r="C35">
        <v>0</v>
      </c>
      <c r="D35" s="1">
        <v>3768303</v>
      </c>
      <c r="E35" s="1">
        <v>2532558</v>
      </c>
      <c r="K35" s="1" t="s">
        <v>28</v>
      </c>
    </row>
    <row r="36" spans="1:11">
      <c r="A36" s="2">
        <v>43891</v>
      </c>
      <c r="B36" t="s">
        <v>27</v>
      </c>
      <c r="C36">
        <v>0</v>
      </c>
      <c r="D36" s="1">
        <v>3773892</v>
      </c>
      <c r="E36" s="1">
        <v>2530547</v>
      </c>
      <c r="K36" s="1" t="s">
        <v>28</v>
      </c>
    </row>
    <row r="37" spans="1:11">
      <c r="A37" s="2">
        <v>43922</v>
      </c>
      <c r="B37" t="s">
        <v>27</v>
      </c>
      <c r="C37">
        <v>0</v>
      </c>
      <c r="D37" s="1">
        <v>3764038</v>
      </c>
      <c r="E37" s="1">
        <v>2520718</v>
      </c>
      <c r="K37" s="1" t="s">
        <v>28</v>
      </c>
    </row>
    <row r="38" spans="1:11">
      <c r="A38" s="2">
        <v>43952</v>
      </c>
      <c r="B38" t="s">
        <v>27</v>
      </c>
      <c r="C38">
        <v>0</v>
      </c>
      <c r="D38" s="1">
        <v>3919759</v>
      </c>
      <c r="E38" s="1">
        <v>2660060</v>
      </c>
      <c r="H38" s="1">
        <v>2024893</v>
      </c>
      <c r="K38" s="1" t="s">
        <v>46</v>
      </c>
    </row>
    <row r="39" spans="1:11">
      <c r="A39" s="2">
        <v>43983</v>
      </c>
      <c r="B39" t="s">
        <v>27</v>
      </c>
      <c r="C39">
        <v>0</v>
      </c>
      <c r="D39" s="1">
        <v>4063269</v>
      </c>
      <c r="E39" s="1">
        <v>2779000</v>
      </c>
      <c r="H39" s="1">
        <v>2080026</v>
      </c>
      <c r="K39" s="1" t="s">
        <v>158</v>
      </c>
    </row>
    <row r="40" spans="1:11">
      <c r="A40" s="2">
        <v>43586</v>
      </c>
      <c r="B40" t="s">
        <v>6</v>
      </c>
      <c r="C40">
        <v>1</v>
      </c>
      <c r="D40" s="1">
        <f>22011+151690+59284+35216+269595+99758+44115+14458</f>
        <v>696127</v>
      </c>
      <c r="F40" s="1">
        <f>59284+99758+14458</f>
        <v>173500</v>
      </c>
      <c r="K40" s="1" t="s">
        <v>76</v>
      </c>
    </row>
    <row r="41" spans="1:11">
      <c r="A41" s="2">
        <v>43862</v>
      </c>
      <c r="B41" t="s">
        <v>6</v>
      </c>
      <c r="C41">
        <v>1</v>
      </c>
      <c r="D41" s="1">
        <f>37412+245555+93345+18522+167322+71836+30227+7020</f>
        <v>671239</v>
      </c>
      <c r="F41" s="1">
        <f>93345+71836+7020</f>
        <v>172201</v>
      </c>
      <c r="K41" s="1" t="s">
        <v>34</v>
      </c>
    </row>
    <row r="42" spans="1:11">
      <c r="A42" s="2">
        <v>43891</v>
      </c>
      <c r="B42" t="s">
        <v>6</v>
      </c>
      <c r="C42">
        <v>1</v>
      </c>
      <c r="D42" s="1">
        <f>38703+244682+93251+18315+168033+72260+30252+7000</f>
        <v>672496</v>
      </c>
      <c r="F42" s="1">
        <f>93251+72260+7000</f>
        <v>172511</v>
      </c>
      <c r="K42" s="1" t="s">
        <v>33</v>
      </c>
    </row>
    <row r="43" spans="1:11">
      <c r="A43" s="2">
        <v>43922</v>
      </c>
      <c r="B43" t="s">
        <v>6</v>
      </c>
      <c r="C43">
        <v>1</v>
      </c>
      <c r="D43" s="1">
        <f>40678+248438+96120+18824+171513+74639+30417+6952</f>
        <v>687581</v>
      </c>
      <c r="F43" s="1">
        <f>96120+74639+6952</f>
        <v>177711</v>
      </c>
      <c r="K43" s="1" t="s">
        <v>32</v>
      </c>
    </row>
    <row r="44" spans="1:11">
      <c r="A44" s="2">
        <v>43952</v>
      </c>
      <c r="B44" t="s">
        <v>6</v>
      </c>
      <c r="C44">
        <v>1</v>
      </c>
      <c r="D44" s="1">
        <f>40487+252498+99444+18909+175395+77544+30839+6982</f>
        <v>702098</v>
      </c>
      <c r="F44" s="1">
        <f>99444+77544+6982</f>
        <v>183970</v>
      </c>
      <c r="K44" s="1" t="s">
        <v>35</v>
      </c>
    </row>
    <row r="45" spans="1:11">
      <c r="A45" s="2">
        <v>43983</v>
      </c>
      <c r="B45" t="s">
        <v>6</v>
      </c>
      <c r="C45">
        <v>1</v>
      </c>
      <c r="D45" s="1">
        <f>40427+255563+100886+18699+178119+78751+31026+7361</f>
        <v>710832</v>
      </c>
      <c r="F45" s="1">
        <f>100886+78751+7361</f>
        <v>186998</v>
      </c>
      <c r="K45" s="1" t="s">
        <v>75</v>
      </c>
    </row>
    <row r="46" spans="1:11">
      <c r="A46" s="2">
        <v>43586</v>
      </c>
      <c r="B46" t="s">
        <v>97</v>
      </c>
      <c r="C46">
        <v>1</v>
      </c>
      <c r="D46" s="1">
        <v>2872447</v>
      </c>
      <c r="E46" s="1">
        <f>D46-266106-211925</f>
        <v>2394416</v>
      </c>
      <c r="F46" s="1">
        <v>527794</v>
      </c>
      <c r="H46" s="1">
        <v>1353718</v>
      </c>
      <c r="K46" s="1" t="s">
        <v>101</v>
      </c>
    </row>
    <row r="47" spans="1:11">
      <c r="A47" s="2">
        <v>43617</v>
      </c>
      <c r="B47" t="s">
        <v>97</v>
      </c>
      <c r="C47">
        <v>1</v>
      </c>
    </row>
    <row r="48" spans="1:11">
      <c r="A48" s="2">
        <v>43862</v>
      </c>
      <c r="B48" t="s">
        <v>97</v>
      </c>
      <c r="C48">
        <v>1</v>
      </c>
      <c r="D48" s="1">
        <v>2875440</v>
      </c>
      <c r="E48" s="1">
        <f>533880+1346194+11608+7299+425859+45585+26044</f>
        <v>2396469</v>
      </c>
      <c r="F48" s="1">
        <v>533880</v>
      </c>
      <c r="H48" s="1">
        <v>1346194</v>
      </c>
      <c r="K48" s="1" t="s">
        <v>98</v>
      </c>
    </row>
    <row r="49" spans="1:11">
      <c r="A49" s="2">
        <v>43891</v>
      </c>
      <c r="B49" t="s">
        <v>97</v>
      </c>
      <c r="C49">
        <v>1</v>
      </c>
      <c r="D49" s="1">
        <v>2863417</v>
      </c>
      <c r="E49" s="1">
        <f>532685+1340022+11457+7194+423419+45501+24952</f>
        <v>2385230</v>
      </c>
      <c r="F49" s="1">
        <v>532685</v>
      </c>
      <c r="H49" s="1">
        <v>1340022</v>
      </c>
      <c r="K49" s="1" t="s">
        <v>99</v>
      </c>
    </row>
    <row r="50" spans="1:11">
      <c r="A50" s="2">
        <v>43922</v>
      </c>
      <c r="B50" t="s">
        <v>97</v>
      </c>
      <c r="C50">
        <v>1</v>
      </c>
      <c r="D50" s="1">
        <v>2985864</v>
      </c>
      <c r="E50" s="1">
        <f>573850+1363249+11233+7534+466521+46642+26535</f>
        <v>2495564</v>
      </c>
      <c r="F50" s="1">
        <v>573850</v>
      </c>
      <c r="H50" s="1">
        <v>1363249</v>
      </c>
      <c r="K50" s="1" t="s">
        <v>100</v>
      </c>
    </row>
    <row r="51" spans="1:11">
      <c r="A51" s="2">
        <v>43952</v>
      </c>
      <c r="B51" t="s">
        <v>97</v>
      </c>
      <c r="C51">
        <v>1</v>
      </c>
      <c r="D51" s="1">
        <v>3040748</v>
      </c>
      <c r="E51" s="1">
        <f>D51-268191-228072</f>
        <v>2544485</v>
      </c>
      <c r="F51" s="1">
        <v>599029</v>
      </c>
      <c r="H51" s="1">
        <v>1376277</v>
      </c>
      <c r="K51" s="1" t="s">
        <v>101</v>
      </c>
    </row>
    <row r="52" spans="1:11">
      <c r="A52" s="2">
        <v>43983</v>
      </c>
      <c r="B52" t="s">
        <v>97</v>
      </c>
      <c r="C52">
        <v>1</v>
      </c>
    </row>
    <row r="53" spans="1:11">
      <c r="A53" s="2">
        <v>43586</v>
      </c>
      <c r="B53" t="s">
        <v>52</v>
      </c>
      <c r="C53">
        <v>1</v>
      </c>
      <c r="D53" s="1">
        <v>1429401</v>
      </c>
      <c r="E53" s="1">
        <v>1233568</v>
      </c>
      <c r="F53" s="1">
        <v>419354</v>
      </c>
      <c r="K53" s="1" t="s">
        <v>77</v>
      </c>
    </row>
    <row r="54" spans="1:11">
      <c r="A54" s="2">
        <v>43862</v>
      </c>
      <c r="B54" t="s">
        <v>52</v>
      </c>
      <c r="C54">
        <v>1</v>
      </c>
      <c r="D54" s="1">
        <v>1442215</v>
      </c>
      <c r="E54" s="1">
        <v>1240267</v>
      </c>
      <c r="F54" s="1">
        <v>423436</v>
      </c>
      <c r="K54" s="1" t="s">
        <v>56</v>
      </c>
    </row>
    <row r="55" spans="1:11">
      <c r="A55" s="2">
        <v>43891</v>
      </c>
      <c r="B55" t="s">
        <v>52</v>
      </c>
      <c r="C55">
        <v>1</v>
      </c>
      <c r="D55" s="1">
        <v>1447765</v>
      </c>
      <c r="E55" s="1">
        <v>1245349</v>
      </c>
      <c r="F55" s="1">
        <v>429750</v>
      </c>
      <c r="K55" s="1" t="s">
        <v>55</v>
      </c>
    </row>
    <row r="56" spans="1:11">
      <c r="A56" s="2">
        <v>43922</v>
      </c>
      <c r="B56" t="s">
        <v>52</v>
      </c>
      <c r="C56">
        <v>1</v>
      </c>
      <c r="D56" s="1">
        <v>1474664</v>
      </c>
      <c r="E56" s="1">
        <v>1271379</v>
      </c>
      <c r="F56" s="1">
        <v>451624</v>
      </c>
      <c r="K56" s="1" t="s">
        <v>54</v>
      </c>
    </row>
    <row r="57" spans="1:11">
      <c r="A57" s="2">
        <v>43952</v>
      </c>
      <c r="B57" t="s">
        <v>52</v>
      </c>
      <c r="C57">
        <v>1</v>
      </c>
      <c r="D57" s="1">
        <v>1521197</v>
      </c>
      <c r="E57" s="1">
        <v>1316014</v>
      </c>
      <c r="F57" s="1">
        <v>483114</v>
      </c>
      <c r="K57" s="1" t="s">
        <v>53</v>
      </c>
    </row>
    <row r="58" spans="1:11">
      <c r="A58" s="2">
        <v>43983</v>
      </c>
      <c r="B58" t="s">
        <v>52</v>
      </c>
      <c r="C58">
        <v>1</v>
      </c>
      <c r="D58" s="1">
        <v>1563101</v>
      </c>
      <c r="E58" s="1">
        <v>1356083</v>
      </c>
      <c r="F58" s="1">
        <v>507467</v>
      </c>
      <c r="K58" s="1" t="s">
        <v>140</v>
      </c>
    </row>
    <row r="59" spans="1:11">
      <c r="A59" s="2">
        <v>43586</v>
      </c>
      <c r="B59" t="s">
        <v>36</v>
      </c>
      <c r="C59">
        <v>0</v>
      </c>
      <c r="D59" s="1">
        <v>409313</v>
      </c>
      <c r="E59" s="1">
        <f>D59-(8475+43112+12443+11168+25363+1045)</f>
        <v>307707</v>
      </c>
      <c r="K59" s="1" t="s">
        <v>78</v>
      </c>
    </row>
    <row r="60" spans="1:11">
      <c r="A60" s="2">
        <v>43862</v>
      </c>
      <c r="B60" t="s">
        <v>36</v>
      </c>
      <c r="C60">
        <v>0</v>
      </c>
      <c r="D60" s="1">
        <v>405126</v>
      </c>
      <c r="E60" s="1">
        <f>D60-(8687+43033+13212+11456+24207+1110)</f>
        <v>303421</v>
      </c>
      <c r="K60" s="1" t="s">
        <v>47</v>
      </c>
    </row>
    <row r="61" spans="1:11">
      <c r="A61" s="2">
        <v>43891</v>
      </c>
      <c r="B61" t="s">
        <v>36</v>
      </c>
      <c r="C61">
        <v>0</v>
      </c>
      <c r="D61" s="1">
        <v>405716</v>
      </c>
      <c r="E61" s="1">
        <f>D61-(8942+42970+13618+11734+24099+1120)</f>
        <v>303233</v>
      </c>
      <c r="K61" s="1" t="s">
        <v>47</v>
      </c>
    </row>
    <row r="62" spans="1:11">
      <c r="A62" s="2">
        <v>43922</v>
      </c>
      <c r="B62" t="s">
        <v>36</v>
      </c>
      <c r="C62">
        <v>0</v>
      </c>
      <c r="D62" s="1">
        <v>408279</v>
      </c>
      <c r="E62" s="1">
        <f>D62-(8899+42949+13871+11923+24289+1133)</f>
        <v>305215</v>
      </c>
      <c r="K62" s="1" t="s">
        <v>47</v>
      </c>
    </row>
    <row r="63" spans="1:11">
      <c r="A63" s="2">
        <v>43952</v>
      </c>
      <c r="B63" t="s">
        <v>36</v>
      </c>
      <c r="C63">
        <v>0</v>
      </c>
      <c r="D63" s="1">
        <v>417068</v>
      </c>
      <c r="E63" s="1">
        <f>D63-(8888+43034+14186+12286+25002+1157)</f>
        <v>312515</v>
      </c>
      <c r="K63" s="1" t="s">
        <v>47</v>
      </c>
    </row>
    <row r="64" spans="1:11">
      <c r="A64" s="2">
        <v>43983</v>
      </c>
      <c r="B64" t="s">
        <v>36</v>
      </c>
      <c r="C64">
        <v>0</v>
      </c>
      <c r="D64" s="1">
        <v>425587</v>
      </c>
      <c r="E64" s="1">
        <f>425587-8868-43308-14299-12582-24832-1168</f>
        <v>320530</v>
      </c>
      <c r="K64" s="1" t="s">
        <v>141</v>
      </c>
    </row>
    <row r="65" spans="1:11">
      <c r="A65" s="2">
        <v>43586</v>
      </c>
      <c r="B65" t="s">
        <v>8</v>
      </c>
      <c r="C65">
        <v>1</v>
      </c>
      <c r="D65" s="1">
        <v>1355167</v>
      </c>
    </row>
    <row r="66" spans="1:11">
      <c r="A66" s="2">
        <v>43862</v>
      </c>
      <c r="B66" t="s">
        <v>8</v>
      </c>
      <c r="C66">
        <v>1</v>
      </c>
      <c r="D66" s="1">
        <v>1316089</v>
      </c>
      <c r="K66" s="1" t="s">
        <v>26</v>
      </c>
    </row>
    <row r="67" spans="1:11">
      <c r="A67" s="2">
        <v>43891</v>
      </c>
      <c r="B67" t="s">
        <v>8</v>
      </c>
      <c r="C67">
        <v>1</v>
      </c>
      <c r="D67" s="1">
        <v>1321054</v>
      </c>
      <c r="K67" s="1" t="s">
        <v>11</v>
      </c>
    </row>
    <row r="68" spans="1:11">
      <c r="A68" s="2">
        <v>43922</v>
      </c>
      <c r="B68" t="s">
        <v>8</v>
      </c>
      <c r="C68">
        <v>1</v>
      </c>
      <c r="D68" s="1">
        <v>1371434</v>
      </c>
      <c r="K68" s="1" t="s">
        <v>10</v>
      </c>
    </row>
    <row r="69" spans="1:11">
      <c r="A69" s="2">
        <v>43952</v>
      </c>
      <c r="B69" t="s">
        <v>8</v>
      </c>
      <c r="C69">
        <v>1</v>
      </c>
      <c r="D69" s="1">
        <v>1422700</v>
      </c>
      <c r="K69" s="1" t="s">
        <v>9</v>
      </c>
    </row>
    <row r="70" spans="1:11">
      <c r="A70" s="2">
        <v>43983</v>
      </c>
      <c r="B70" t="s">
        <v>8</v>
      </c>
      <c r="C70">
        <v>1</v>
      </c>
      <c r="D70" s="1">
        <v>1451854</v>
      </c>
      <c r="K70" s="1" t="s">
        <v>59</v>
      </c>
    </row>
    <row r="71" spans="1:11">
      <c r="A71" s="2">
        <v>44013</v>
      </c>
      <c r="B71" t="s">
        <v>8</v>
      </c>
      <c r="C71">
        <v>1</v>
      </c>
      <c r="D71" s="3">
        <v>1503933</v>
      </c>
      <c r="E71" s="3"/>
      <c r="K71" s="1" t="s">
        <v>152</v>
      </c>
    </row>
    <row r="72" spans="1:11">
      <c r="A72" s="2">
        <v>43586</v>
      </c>
      <c r="B72" t="s">
        <v>12</v>
      </c>
      <c r="C72">
        <v>1</v>
      </c>
      <c r="F72">
        <v>465871</v>
      </c>
      <c r="G72"/>
    </row>
    <row r="73" spans="1:11">
      <c r="A73" s="2">
        <v>43862</v>
      </c>
      <c r="B73" t="s">
        <v>12</v>
      </c>
      <c r="C73">
        <v>1</v>
      </c>
      <c r="F73">
        <v>482812</v>
      </c>
      <c r="G73"/>
      <c r="K73" s="1" t="s">
        <v>15</v>
      </c>
    </row>
    <row r="74" spans="1:11">
      <c r="A74" s="2">
        <v>43891</v>
      </c>
      <c r="B74" t="s">
        <v>12</v>
      </c>
      <c r="C74">
        <v>1</v>
      </c>
      <c r="F74">
        <v>472434</v>
      </c>
      <c r="G74"/>
      <c r="K74" s="1" t="s">
        <v>15</v>
      </c>
    </row>
    <row r="75" spans="1:11">
      <c r="A75" s="2">
        <v>43922</v>
      </c>
      <c r="B75" t="s">
        <v>12</v>
      </c>
      <c r="C75">
        <v>1</v>
      </c>
      <c r="F75">
        <v>483768</v>
      </c>
      <c r="G75"/>
      <c r="K75" s="1" t="s">
        <v>15</v>
      </c>
    </row>
    <row r="76" spans="1:11">
      <c r="A76" s="2">
        <v>43952</v>
      </c>
      <c r="B76" t="s">
        <v>12</v>
      </c>
      <c r="C76">
        <v>1</v>
      </c>
      <c r="F76">
        <v>505168</v>
      </c>
      <c r="G76"/>
      <c r="K76" s="1" t="s">
        <v>15</v>
      </c>
    </row>
    <row r="77" spans="1:11">
      <c r="A77" s="2">
        <v>43983</v>
      </c>
      <c r="B77" t="s">
        <v>12</v>
      </c>
      <c r="C77">
        <v>1</v>
      </c>
      <c r="F77">
        <v>516124</v>
      </c>
      <c r="G77"/>
    </row>
    <row r="78" spans="1:11">
      <c r="A78" s="2">
        <v>43586</v>
      </c>
      <c r="B78" t="s">
        <v>62</v>
      </c>
      <c r="C78">
        <v>1</v>
      </c>
      <c r="D78" s="4">
        <v>1410248</v>
      </c>
      <c r="E78" s="1">
        <v>1243864</v>
      </c>
      <c r="F78"/>
      <c r="G78"/>
      <c r="H78" s="1">
        <v>625026</v>
      </c>
    </row>
    <row r="79" spans="1:11">
      <c r="A79" s="2">
        <v>43862</v>
      </c>
      <c r="B79" t="s">
        <v>62</v>
      </c>
      <c r="C79">
        <v>1</v>
      </c>
      <c r="D79" s="4">
        <v>1419217</v>
      </c>
      <c r="E79" s="1">
        <v>1253975</v>
      </c>
      <c r="H79" s="1">
        <v>624273</v>
      </c>
      <c r="K79" s="1" t="s">
        <v>63</v>
      </c>
    </row>
    <row r="80" spans="1:11">
      <c r="A80" s="2">
        <v>43891</v>
      </c>
      <c r="B80" t="s">
        <v>62</v>
      </c>
      <c r="C80">
        <v>1</v>
      </c>
      <c r="D80" s="4">
        <v>1418658</v>
      </c>
      <c r="E80" s="1">
        <v>1253938</v>
      </c>
      <c r="H80" s="1">
        <v>623687</v>
      </c>
      <c r="K80" s="1" t="s">
        <v>63</v>
      </c>
    </row>
    <row r="81" spans="1:11">
      <c r="A81" s="2">
        <v>43922</v>
      </c>
      <c r="B81" t="s">
        <v>62</v>
      </c>
      <c r="C81">
        <v>1</v>
      </c>
      <c r="D81" s="4">
        <v>1421472</v>
      </c>
      <c r="E81" s="1">
        <v>1257784</v>
      </c>
      <c r="H81" s="1">
        <v>623780</v>
      </c>
      <c r="K81" s="1" t="s">
        <v>63</v>
      </c>
    </row>
    <row r="82" spans="1:11">
      <c r="A82" s="2">
        <v>43952</v>
      </c>
      <c r="B82" t="s">
        <v>62</v>
      </c>
      <c r="C82">
        <v>1</v>
      </c>
      <c r="D82" s="4">
        <v>1423936</v>
      </c>
      <c r="E82" s="1">
        <v>1261067</v>
      </c>
      <c r="H82" s="1">
        <v>623029</v>
      </c>
      <c r="K82" s="1" t="s">
        <v>63</v>
      </c>
    </row>
    <row r="83" spans="1:11">
      <c r="A83" s="2">
        <v>43983</v>
      </c>
      <c r="B83" t="s">
        <v>62</v>
      </c>
      <c r="C83">
        <v>1</v>
      </c>
      <c r="D83" s="4"/>
    </row>
    <row r="84" spans="1:11">
      <c r="A84" s="2">
        <v>43862</v>
      </c>
      <c r="B84" t="s">
        <v>13</v>
      </c>
      <c r="C84">
        <v>1</v>
      </c>
      <c r="F84" s="1">
        <v>44185</v>
      </c>
      <c r="K84" s="1" t="s">
        <v>15</v>
      </c>
    </row>
    <row r="85" spans="1:11">
      <c r="A85" s="2">
        <v>43891</v>
      </c>
      <c r="B85" t="s">
        <v>13</v>
      </c>
      <c r="C85">
        <v>1</v>
      </c>
      <c r="D85" s="1">
        <v>300443</v>
      </c>
      <c r="F85" s="1">
        <v>45049</v>
      </c>
      <c r="K85" s="1" t="s">
        <v>15</v>
      </c>
    </row>
    <row r="86" spans="1:11">
      <c r="A86" s="2">
        <v>43922</v>
      </c>
      <c r="B86" t="s">
        <v>13</v>
      </c>
      <c r="C86">
        <v>1</v>
      </c>
      <c r="D86" s="1">
        <v>305874</v>
      </c>
      <c r="F86" s="1">
        <v>47586</v>
      </c>
      <c r="K86" s="1" t="s">
        <v>15</v>
      </c>
    </row>
    <row r="87" spans="1:11">
      <c r="A87" s="2">
        <v>43952</v>
      </c>
      <c r="B87" t="s">
        <v>13</v>
      </c>
      <c r="C87">
        <v>1</v>
      </c>
      <c r="D87" s="1">
        <v>306309</v>
      </c>
      <c r="F87" s="1">
        <v>53036</v>
      </c>
      <c r="K87" s="1" t="s">
        <v>15</v>
      </c>
    </row>
    <row r="88" spans="1:11">
      <c r="A88" s="2">
        <v>43983</v>
      </c>
      <c r="B88" t="s">
        <v>13</v>
      </c>
      <c r="C88">
        <v>1</v>
      </c>
      <c r="D88" s="1">
        <v>308917</v>
      </c>
      <c r="F88" s="1">
        <v>55353</v>
      </c>
      <c r="K88" s="1" t="s">
        <v>15</v>
      </c>
    </row>
    <row r="89" spans="1:11">
      <c r="A89" s="2">
        <v>44013</v>
      </c>
      <c r="B89" t="s">
        <v>13</v>
      </c>
      <c r="C89">
        <v>1</v>
      </c>
      <c r="D89" s="1">
        <v>314151</v>
      </c>
      <c r="F89" s="1">
        <v>57665</v>
      </c>
      <c r="K89" s="1" t="s">
        <v>153</v>
      </c>
    </row>
    <row r="90" spans="1:11">
      <c r="A90" s="2">
        <v>43586</v>
      </c>
      <c r="B90" t="s">
        <v>111</v>
      </c>
      <c r="C90">
        <v>1</v>
      </c>
      <c r="D90" s="3">
        <f>1769052+691941</f>
        <v>2460993</v>
      </c>
      <c r="E90" s="1">
        <f>1769052-275450-212007+F90</f>
        <v>1973536</v>
      </c>
      <c r="F90" s="3">
        <v>691941</v>
      </c>
      <c r="G90" s="3"/>
    </row>
    <row r="91" spans="1:11">
      <c r="A91" s="2">
        <v>43617</v>
      </c>
      <c r="B91" t="s">
        <v>111</v>
      </c>
      <c r="C91">
        <v>1</v>
      </c>
      <c r="D91" s="1">
        <f>1761004+681042</f>
        <v>2442046</v>
      </c>
      <c r="E91" s="1">
        <f>1761004-275041-212464+F91</f>
        <v>1954541</v>
      </c>
      <c r="F91" s="3">
        <v>681042</v>
      </c>
      <c r="G91" s="3"/>
    </row>
    <row r="92" spans="1:11">
      <c r="A92" s="2">
        <v>43862</v>
      </c>
      <c r="B92" t="s">
        <v>111</v>
      </c>
      <c r="C92">
        <v>1</v>
      </c>
      <c r="D92" s="1">
        <f>1761714+F92</f>
        <v>2448296</v>
      </c>
      <c r="E92" s="1">
        <f>1764714-273604-216751+F92</f>
        <v>1960941</v>
      </c>
      <c r="F92" s="1">
        <v>686582</v>
      </c>
    </row>
    <row r="93" spans="1:11">
      <c r="A93" s="2">
        <v>43891</v>
      </c>
      <c r="B93" t="s">
        <v>111</v>
      </c>
      <c r="C93">
        <v>1</v>
      </c>
      <c r="D93" s="1">
        <f>1762365+F93</f>
        <v>2447651</v>
      </c>
      <c r="E93" s="1">
        <f>1762365-273778-216721+F93</f>
        <v>1957152</v>
      </c>
      <c r="F93" s="1">
        <v>685286</v>
      </c>
    </row>
    <row r="94" spans="1:11">
      <c r="A94" s="2">
        <v>43922</v>
      </c>
      <c r="B94" t="s">
        <v>111</v>
      </c>
      <c r="C94">
        <v>1</v>
      </c>
      <c r="D94" s="1">
        <f>1774572+F94</f>
        <v>2469311</v>
      </c>
      <c r="E94" s="1">
        <f>1774572-273843-218698+F94</f>
        <v>1976770</v>
      </c>
      <c r="F94" s="1">
        <v>694739</v>
      </c>
    </row>
    <row r="95" spans="1:11">
      <c r="A95" s="2">
        <v>43952</v>
      </c>
      <c r="B95" t="s">
        <v>111</v>
      </c>
      <c r="C95">
        <v>1</v>
      </c>
      <c r="D95" s="1">
        <f>1800135+F95</f>
        <v>2511696</v>
      </c>
      <c r="E95" s="1">
        <f>1800135-273399-222165+F95</f>
        <v>2016132</v>
      </c>
      <c r="F95" s="1">
        <v>711561</v>
      </c>
    </row>
    <row r="96" spans="1:11">
      <c r="A96" s="2">
        <v>43983</v>
      </c>
      <c r="B96" t="s">
        <v>111</v>
      </c>
      <c r="C96">
        <v>1</v>
      </c>
      <c r="D96" s="1">
        <f>1826780+F96</f>
        <v>2551710</v>
      </c>
      <c r="E96" s="1">
        <f>1826780-273538-224645+F96</f>
        <v>2053527</v>
      </c>
      <c r="F96" s="1">
        <v>724930</v>
      </c>
    </row>
    <row r="97" spans="1:11">
      <c r="A97" s="2">
        <v>43586</v>
      </c>
      <c r="B97" t="s">
        <v>14</v>
      </c>
      <c r="C97">
        <v>1</v>
      </c>
      <c r="D97" s="1">
        <v>925568</v>
      </c>
      <c r="E97" s="1">
        <v>814994</v>
      </c>
      <c r="F97" s="3">
        <v>166979</v>
      </c>
      <c r="G97" s="3"/>
    </row>
    <row r="98" spans="1:11">
      <c r="A98" s="2">
        <v>43862</v>
      </c>
      <c r="B98" t="s">
        <v>14</v>
      </c>
      <c r="C98">
        <v>1</v>
      </c>
      <c r="D98" s="1">
        <v>912534</v>
      </c>
      <c r="E98" s="3">
        <v>799656</v>
      </c>
      <c r="F98" s="3">
        <v>161610</v>
      </c>
      <c r="G98" s="3"/>
      <c r="H98" s="3"/>
      <c r="I98" s="3"/>
      <c r="J98" s="3"/>
      <c r="K98" s="1" t="s">
        <v>154</v>
      </c>
    </row>
    <row r="99" spans="1:11">
      <c r="A99" s="2">
        <v>43891</v>
      </c>
      <c r="B99" t="s">
        <v>14</v>
      </c>
      <c r="C99">
        <v>1</v>
      </c>
      <c r="D99" s="1">
        <v>921135</v>
      </c>
      <c r="E99" s="3">
        <v>808269</v>
      </c>
      <c r="F99" s="3">
        <v>162580</v>
      </c>
      <c r="G99" s="3"/>
      <c r="H99" s="3"/>
      <c r="I99" s="3"/>
      <c r="J99" s="3"/>
      <c r="K99" s="1" t="s">
        <v>154</v>
      </c>
    </row>
    <row r="100" spans="1:11">
      <c r="A100" s="2">
        <v>43922</v>
      </c>
      <c r="B100" t="s">
        <v>14</v>
      </c>
      <c r="C100">
        <v>1</v>
      </c>
      <c r="D100" s="1">
        <v>955811</v>
      </c>
      <c r="E100" s="3">
        <v>841578</v>
      </c>
      <c r="F100" s="3">
        <v>169984</v>
      </c>
      <c r="G100" s="3"/>
      <c r="H100" s="3"/>
      <c r="I100" s="3"/>
      <c r="J100" s="3"/>
      <c r="K100" s="1" t="s">
        <v>154</v>
      </c>
    </row>
    <row r="101" spans="1:11">
      <c r="A101" s="2">
        <v>43952</v>
      </c>
      <c r="B101" t="s">
        <v>14</v>
      </c>
      <c r="C101">
        <v>1</v>
      </c>
      <c r="D101" s="1">
        <v>991134</v>
      </c>
      <c r="E101" s="3">
        <v>875789</v>
      </c>
      <c r="F101" s="3">
        <v>179568</v>
      </c>
      <c r="G101" s="3"/>
      <c r="H101" s="3"/>
      <c r="I101" s="3"/>
      <c r="J101" s="3"/>
      <c r="K101" s="1" t="s">
        <v>154</v>
      </c>
    </row>
    <row r="102" spans="1:11">
      <c r="A102" s="2">
        <v>43983</v>
      </c>
      <c r="B102" t="s">
        <v>14</v>
      </c>
      <c r="C102">
        <v>1</v>
      </c>
      <c r="D102" s="1">
        <v>1012752</v>
      </c>
      <c r="E102" s="3">
        <v>896586</v>
      </c>
      <c r="F102" s="3">
        <v>186378</v>
      </c>
      <c r="G102" s="3"/>
      <c r="H102" s="3"/>
      <c r="I102" s="3"/>
      <c r="J102" s="3"/>
      <c r="K102" s="1" t="s">
        <v>154</v>
      </c>
    </row>
    <row r="103" spans="1:11">
      <c r="A103" s="2">
        <v>44013</v>
      </c>
      <c r="B103" t="s">
        <v>14</v>
      </c>
      <c r="C103">
        <v>1</v>
      </c>
      <c r="D103" s="1">
        <v>1029405</v>
      </c>
      <c r="E103" s="3">
        <v>911851</v>
      </c>
      <c r="F103" s="3">
        <v>192324</v>
      </c>
      <c r="G103" s="3"/>
      <c r="H103" s="3"/>
      <c r="I103" s="3"/>
      <c r="J103" s="3"/>
      <c r="K103" s="1" t="s">
        <v>154</v>
      </c>
    </row>
    <row r="104" spans="1:11">
      <c r="A104" s="2">
        <v>43586</v>
      </c>
      <c r="B104" t="s">
        <v>37</v>
      </c>
      <c r="C104">
        <v>0</v>
      </c>
      <c r="D104" s="1">
        <v>932332</v>
      </c>
      <c r="E104" s="3">
        <v>699312</v>
      </c>
      <c r="F104" s="3"/>
      <c r="G104" s="3"/>
      <c r="H104" s="3"/>
      <c r="I104" s="3"/>
      <c r="J104" s="3"/>
      <c r="K104" s="1" t="s">
        <v>79</v>
      </c>
    </row>
    <row r="105" spans="1:11">
      <c r="A105" s="2">
        <v>43862</v>
      </c>
      <c r="B105" t="s">
        <v>37</v>
      </c>
      <c r="C105">
        <v>0</v>
      </c>
      <c r="D105" s="1">
        <v>893738</v>
      </c>
      <c r="E105" s="3">
        <v>659195</v>
      </c>
      <c r="F105" s="3"/>
      <c r="G105" s="3"/>
      <c r="H105" s="3"/>
      <c r="I105" s="3"/>
      <c r="J105" s="3"/>
      <c r="K105" s="1" t="s">
        <v>79</v>
      </c>
    </row>
    <row r="106" spans="1:11">
      <c r="A106" s="2">
        <v>43891</v>
      </c>
      <c r="B106" t="s">
        <v>37</v>
      </c>
      <c r="C106">
        <v>0</v>
      </c>
      <c r="D106" s="1">
        <v>895851</v>
      </c>
      <c r="E106" s="3">
        <v>660909</v>
      </c>
      <c r="F106" s="3"/>
      <c r="G106" s="3"/>
      <c r="H106" s="3"/>
      <c r="I106" s="3"/>
      <c r="J106" s="3"/>
      <c r="K106" s="1" t="s">
        <v>79</v>
      </c>
    </row>
    <row r="107" spans="1:11">
      <c r="A107" s="2">
        <v>43922</v>
      </c>
      <c r="B107" t="s">
        <v>37</v>
      </c>
      <c r="C107">
        <v>0</v>
      </c>
      <c r="D107" s="3">
        <v>909202</v>
      </c>
      <c r="E107" s="3">
        <v>672594</v>
      </c>
      <c r="F107" s="3"/>
      <c r="G107" s="3"/>
      <c r="H107" s="3"/>
      <c r="I107" s="3"/>
      <c r="J107" s="3"/>
      <c r="K107" s="1" t="s">
        <v>79</v>
      </c>
    </row>
    <row r="108" spans="1:11">
      <c r="A108" s="2">
        <v>43952</v>
      </c>
      <c r="B108" t="s">
        <v>37</v>
      </c>
      <c r="C108">
        <v>0</v>
      </c>
      <c r="D108" s="3">
        <v>952859</v>
      </c>
      <c r="E108" s="3">
        <v>704441</v>
      </c>
      <c r="F108" s="3"/>
      <c r="G108" s="3"/>
      <c r="H108" s="3"/>
      <c r="I108" s="3"/>
      <c r="J108" s="3"/>
      <c r="K108" s="1" t="s">
        <v>79</v>
      </c>
    </row>
    <row r="109" spans="1:11">
      <c r="A109" s="2">
        <v>43983</v>
      </c>
      <c r="B109" t="s">
        <v>37</v>
      </c>
      <c r="C109">
        <v>0</v>
      </c>
      <c r="D109" s="3">
        <v>972207</v>
      </c>
      <c r="E109" s="3">
        <v>721650</v>
      </c>
      <c r="F109" s="3"/>
      <c r="G109" s="3"/>
      <c r="H109" s="3"/>
      <c r="I109" s="3"/>
      <c r="J109" s="3"/>
      <c r="K109" s="1" t="s">
        <v>79</v>
      </c>
    </row>
    <row r="110" spans="1:11">
      <c r="A110" s="2">
        <v>43586</v>
      </c>
      <c r="B110" t="s">
        <v>64</v>
      </c>
      <c r="C110">
        <v>0</v>
      </c>
      <c r="D110" s="3">
        <v>720831</v>
      </c>
      <c r="E110" s="3">
        <f>346113+61984+22903+46287</f>
        <v>477287</v>
      </c>
      <c r="F110" s="3"/>
      <c r="G110" s="3"/>
      <c r="H110" s="3">
        <f>346113+46287</f>
        <v>392400</v>
      </c>
      <c r="I110" s="3"/>
      <c r="J110" s="3"/>
      <c r="K110" s="1" t="s">
        <v>81</v>
      </c>
    </row>
    <row r="111" spans="1:11">
      <c r="A111" s="2">
        <v>43862</v>
      </c>
      <c r="B111" t="s">
        <v>64</v>
      </c>
      <c r="C111">
        <v>0</v>
      </c>
      <c r="D111" s="3">
        <v>717713</v>
      </c>
      <c r="E111" s="3">
        <f>343846+60535+23995+46132</f>
        <v>474508</v>
      </c>
      <c r="F111" s="3"/>
      <c r="G111" s="3"/>
      <c r="H111" s="3">
        <f>343846+46132</f>
        <v>389978</v>
      </c>
      <c r="I111" s="3"/>
      <c r="J111" s="3"/>
      <c r="K111" s="1" t="s">
        <v>65</v>
      </c>
    </row>
    <row r="112" spans="1:11">
      <c r="A112" s="2">
        <v>43891</v>
      </c>
      <c r="B112" t="s">
        <v>64</v>
      </c>
      <c r="C112">
        <v>0</v>
      </c>
      <c r="D112" s="3">
        <v>717647</v>
      </c>
      <c r="E112" s="3">
        <f>343135+60399+24054+46389</f>
        <v>473977</v>
      </c>
      <c r="F112" s="3"/>
      <c r="G112" s="3"/>
      <c r="H112" s="3">
        <f>343135+46389</f>
        <v>389524</v>
      </c>
      <c r="I112" s="3"/>
      <c r="J112" s="3"/>
      <c r="K112" s="1" t="s">
        <v>65</v>
      </c>
    </row>
    <row r="113" spans="1:11">
      <c r="A113" s="2">
        <v>43922</v>
      </c>
      <c r="B113" t="s">
        <v>64</v>
      </c>
      <c r="C113">
        <v>0</v>
      </c>
      <c r="D113" s="3">
        <v>716896</v>
      </c>
      <c r="E113" s="3">
        <f>342043+60179+24365+46596</f>
        <v>473183</v>
      </c>
      <c r="F113" s="3"/>
      <c r="G113" s="3"/>
      <c r="H113" s="3">
        <f>342043+46596</f>
        <v>388639</v>
      </c>
      <c r="I113" s="3"/>
      <c r="J113" s="3"/>
      <c r="K113" s="1" t="s">
        <v>65</v>
      </c>
    </row>
    <row r="114" spans="1:11">
      <c r="A114" s="2">
        <v>43952</v>
      </c>
      <c r="B114" t="s">
        <v>64</v>
      </c>
      <c r="C114">
        <v>0</v>
      </c>
      <c r="D114" s="3">
        <v>713946</v>
      </c>
      <c r="E114" s="3">
        <f>340091+59919+24425+46336</f>
        <v>470771</v>
      </c>
      <c r="F114" s="3"/>
      <c r="G114" s="3"/>
      <c r="H114" s="3">
        <f>340091+46336</f>
        <v>386427</v>
      </c>
      <c r="I114" s="3"/>
      <c r="J114" s="3"/>
      <c r="K114" s="1" t="s">
        <v>65</v>
      </c>
    </row>
    <row r="115" spans="1:11">
      <c r="A115" s="2">
        <v>43983</v>
      </c>
      <c r="B115" t="s">
        <v>64</v>
      </c>
      <c r="C115">
        <v>0</v>
      </c>
      <c r="D115" s="3">
        <v>737321</v>
      </c>
      <c r="E115" s="3">
        <f>353140+66537+25036+48023</f>
        <v>492736</v>
      </c>
      <c r="F115" s="3"/>
      <c r="G115" s="3"/>
      <c r="H115" s="3">
        <f>353140+48023</f>
        <v>401163</v>
      </c>
      <c r="I115" s="3"/>
      <c r="J115" s="3"/>
      <c r="K115" s="1" t="s">
        <v>65</v>
      </c>
    </row>
    <row r="116" spans="1:11">
      <c r="A116" s="2">
        <v>43586</v>
      </c>
      <c r="B116" t="s">
        <v>142</v>
      </c>
      <c r="C116">
        <v>1</v>
      </c>
      <c r="F116" s="1">
        <v>94322</v>
      </c>
      <c r="K116" s="1" t="s">
        <v>148</v>
      </c>
    </row>
    <row r="117" spans="1:11">
      <c r="A117" s="2">
        <v>43617</v>
      </c>
      <c r="B117" t="s">
        <v>142</v>
      </c>
      <c r="C117">
        <v>1</v>
      </c>
      <c r="F117" s="1">
        <v>92548</v>
      </c>
      <c r="K117" s="1" t="s">
        <v>147</v>
      </c>
    </row>
    <row r="118" spans="1:11">
      <c r="A118" s="2">
        <v>43862</v>
      </c>
      <c r="B118" t="s">
        <v>142</v>
      </c>
      <c r="C118">
        <v>1</v>
      </c>
      <c r="F118" s="1">
        <v>81864</v>
      </c>
      <c r="K118" s="1" t="s">
        <v>146</v>
      </c>
    </row>
    <row r="119" spans="1:11">
      <c r="A119" s="2">
        <v>43891</v>
      </c>
      <c r="B119" t="s">
        <v>142</v>
      </c>
      <c r="C119">
        <v>1</v>
      </c>
      <c r="F119" s="1">
        <v>81451</v>
      </c>
      <c r="K119" s="1" t="s">
        <v>145</v>
      </c>
    </row>
    <row r="120" spans="1:11">
      <c r="A120" s="2">
        <v>43922</v>
      </c>
      <c r="B120" t="s">
        <v>142</v>
      </c>
      <c r="C120">
        <v>1</v>
      </c>
      <c r="F120" s="1">
        <v>80466</v>
      </c>
      <c r="K120" s="1" t="s">
        <v>144</v>
      </c>
    </row>
    <row r="121" spans="1:11">
      <c r="A121" s="2">
        <v>43952</v>
      </c>
      <c r="B121" t="s">
        <v>142</v>
      </c>
      <c r="C121">
        <v>1</v>
      </c>
      <c r="F121" s="1">
        <v>82174</v>
      </c>
      <c r="K121" s="1" t="s">
        <v>143</v>
      </c>
    </row>
    <row r="122" spans="1:11">
      <c r="A122" s="2">
        <v>43983</v>
      </c>
      <c r="B122" t="s">
        <v>142</v>
      </c>
      <c r="C122">
        <v>1</v>
      </c>
    </row>
    <row r="123" spans="1:11">
      <c r="A123" s="2">
        <v>43586</v>
      </c>
      <c r="B123" t="s">
        <v>19</v>
      </c>
      <c r="C123">
        <v>0</v>
      </c>
      <c r="D123" s="3">
        <v>2187346</v>
      </c>
      <c r="E123" s="3">
        <v>1692845</v>
      </c>
      <c r="F123" s="3"/>
      <c r="G123" s="3"/>
      <c r="H123" s="3"/>
      <c r="I123" s="3"/>
      <c r="J123" s="3"/>
      <c r="K123" s="1" t="s">
        <v>82</v>
      </c>
    </row>
    <row r="124" spans="1:11">
      <c r="A124" s="2">
        <v>43862</v>
      </c>
      <c r="B124" t="s">
        <v>19</v>
      </c>
      <c r="C124">
        <v>0</v>
      </c>
      <c r="D124" s="1">
        <v>2186142</v>
      </c>
      <c r="E124" s="1">
        <v>1685537</v>
      </c>
      <c r="K124" s="1" t="s">
        <v>50</v>
      </c>
    </row>
    <row r="125" spans="1:11">
      <c r="A125" s="2">
        <v>43891</v>
      </c>
      <c r="B125" t="s">
        <v>19</v>
      </c>
      <c r="C125">
        <v>0</v>
      </c>
      <c r="D125" s="1">
        <v>2182617</v>
      </c>
      <c r="E125" s="1">
        <v>1682279</v>
      </c>
      <c r="K125" s="1" t="s">
        <v>50</v>
      </c>
    </row>
    <row r="126" spans="1:11">
      <c r="A126" s="2">
        <v>43922</v>
      </c>
      <c r="B126" t="s">
        <v>19</v>
      </c>
      <c r="C126">
        <v>0</v>
      </c>
      <c r="D126" s="1">
        <v>2224714</v>
      </c>
      <c r="E126" s="1">
        <v>1719168</v>
      </c>
      <c r="K126" s="1" t="s">
        <v>50</v>
      </c>
    </row>
    <row r="127" spans="1:11">
      <c r="A127" s="2">
        <v>43952</v>
      </c>
      <c r="B127" t="s">
        <v>19</v>
      </c>
      <c r="C127">
        <v>0</v>
      </c>
      <c r="D127" s="1">
        <v>2260881</v>
      </c>
      <c r="E127" s="1">
        <v>1750949</v>
      </c>
      <c r="K127" s="1" t="s">
        <v>50</v>
      </c>
    </row>
    <row r="128" spans="1:11">
      <c r="A128" s="2">
        <v>43983</v>
      </c>
      <c r="B128" t="s">
        <v>19</v>
      </c>
      <c r="C128">
        <v>0</v>
      </c>
      <c r="D128" s="1">
        <v>2286807</v>
      </c>
      <c r="E128" s="1">
        <v>1774434</v>
      </c>
      <c r="K128" s="1" t="s">
        <v>80</v>
      </c>
    </row>
    <row r="129" spans="1:11">
      <c r="A129" s="2">
        <v>43586</v>
      </c>
      <c r="B129" t="s">
        <v>16</v>
      </c>
      <c r="C129">
        <v>1</v>
      </c>
      <c r="D129" s="1">
        <v>178012</v>
      </c>
      <c r="E129" s="1">
        <f>D129-1336-17076-9118</f>
        <v>150482</v>
      </c>
      <c r="F129" s="1">
        <v>50291</v>
      </c>
      <c r="K129" s="1" t="s">
        <v>83</v>
      </c>
    </row>
    <row r="130" spans="1:11">
      <c r="A130" s="2">
        <v>43862</v>
      </c>
      <c r="B130" t="s">
        <v>16</v>
      </c>
      <c r="C130">
        <v>1</v>
      </c>
      <c r="D130" s="1">
        <v>179100</v>
      </c>
      <c r="E130" s="1">
        <f>D130-1280-16840-9289</f>
        <v>151691</v>
      </c>
      <c r="F130" s="1">
        <v>51277</v>
      </c>
      <c r="K130" s="1" t="s">
        <v>17</v>
      </c>
    </row>
    <row r="131" spans="1:11">
      <c r="A131" s="2">
        <v>43891</v>
      </c>
      <c r="B131" t="s">
        <v>16</v>
      </c>
      <c r="C131">
        <v>1</v>
      </c>
      <c r="D131" s="1">
        <v>178930</v>
      </c>
      <c r="E131" s="1">
        <f>D131-1280-16708-9281</f>
        <v>151661</v>
      </c>
      <c r="F131" s="1">
        <v>51574</v>
      </c>
      <c r="K131" s="1" t="s">
        <v>17</v>
      </c>
    </row>
    <row r="132" spans="1:11">
      <c r="A132" s="2">
        <v>43922</v>
      </c>
      <c r="B132" t="s">
        <v>16</v>
      </c>
      <c r="C132">
        <v>1</v>
      </c>
      <c r="D132" s="1">
        <v>179510</v>
      </c>
      <c r="E132" s="1">
        <f>D132-1274-16622-9282</f>
        <v>152332</v>
      </c>
      <c r="F132" s="1">
        <v>52183</v>
      </c>
      <c r="K132" s="1" t="s">
        <v>17</v>
      </c>
    </row>
    <row r="133" spans="1:11">
      <c r="A133" s="2">
        <v>43952</v>
      </c>
      <c r="B133" t="s">
        <v>16</v>
      </c>
      <c r="C133">
        <v>1</v>
      </c>
      <c r="D133" s="6">
        <v>187079</v>
      </c>
      <c r="E133" s="1">
        <f>D133-1281-17122-9472</f>
        <v>159204</v>
      </c>
      <c r="F133" s="1">
        <v>55654</v>
      </c>
      <c r="K133" s="1" t="s">
        <v>17</v>
      </c>
    </row>
    <row r="134" spans="1:11">
      <c r="A134" s="2">
        <v>43983</v>
      </c>
      <c r="B134" t="s">
        <v>16</v>
      </c>
      <c r="C134">
        <v>1</v>
      </c>
      <c r="D134" s="7">
        <v>190988</v>
      </c>
      <c r="E134" s="1">
        <f>D134-1277-17369-9562</f>
        <v>162780</v>
      </c>
      <c r="F134" s="1">
        <v>57758</v>
      </c>
      <c r="K134" s="1" t="s">
        <v>17</v>
      </c>
    </row>
    <row r="135" spans="1:11">
      <c r="A135" s="2">
        <v>43586</v>
      </c>
      <c r="B135" t="s">
        <v>89</v>
      </c>
      <c r="C135">
        <v>1</v>
      </c>
      <c r="D135" s="1">
        <v>1709715</v>
      </c>
      <c r="E135" s="1">
        <f>788536+619107</f>
        <v>1407643</v>
      </c>
      <c r="F135" s="1">
        <f>188146+333292</f>
        <v>521438</v>
      </c>
      <c r="H135" s="1">
        <v>788536</v>
      </c>
      <c r="K135" s="1" t="s">
        <v>90</v>
      </c>
    </row>
    <row r="136" spans="1:11">
      <c r="A136" s="2">
        <v>43617</v>
      </c>
      <c r="B136" t="s">
        <v>89</v>
      </c>
      <c r="C136">
        <v>1</v>
      </c>
      <c r="D136" s="1">
        <v>1707113</v>
      </c>
      <c r="E136" s="1">
        <f>788396+616151</f>
        <v>1404547</v>
      </c>
      <c r="F136" s="1">
        <f>187209+332017</f>
        <v>519226</v>
      </c>
      <c r="H136" s="1">
        <v>788396</v>
      </c>
      <c r="K136" s="1" t="s">
        <v>90</v>
      </c>
    </row>
    <row r="137" spans="1:11">
      <c r="A137" s="2">
        <v>43862</v>
      </c>
      <c r="B137" t="s">
        <v>89</v>
      </c>
      <c r="C137">
        <v>1</v>
      </c>
      <c r="D137" s="1">
        <v>1685556</v>
      </c>
      <c r="E137" s="1">
        <f>774708+607834</f>
        <v>1382542</v>
      </c>
      <c r="F137" s="1">
        <f>179827+332905</f>
        <v>512732</v>
      </c>
      <c r="H137" s="1">
        <v>774708</v>
      </c>
      <c r="K137" s="1" t="s">
        <v>91</v>
      </c>
    </row>
    <row r="138" spans="1:11">
      <c r="A138" s="2">
        <v>43891</v>
      </c>
      <c r="B138" t="s">
        <v>89</v>
      </c>
      <c r="C138">
        <v>1</v>
      </c>
      <c r="D138" s="1">
        <v>1685621</v>
      </c>
      <c r="E138" s="1">
        <f>773544+606279</f>
        <v>1379823</v>
      </c>
      <c r="F138" s="1">
        <f>179333+331517</f>
        <v>510850</v>
      </c>
      <c r="H138" s="1">
        <v>773544</v>
      </c>
      <c r="K138" s="1" t="s">
        <v>92</v>
      </c>
    </row>
    <row r="139" spans="1:11">
      <c r="A139" s="2">
        <v>43922</v>
      </c>
      <c r="B139" t="s">
        <v>89</v>
      </c>
      <c r="C139">
        <v>1</v>
      </c>
      <c r="D139" s="1">
        <v>1683479</v>
      </c>
      <c r="E139" s="1">
        <f>776097+604407</f>
        <v>1380504</v>
      </c>
      <c r="F139" s="1">
        <f>178779+330410</f>
        <v>509189</v>
      </c>
      <c r="H139" s="1">
        <v>776097</v>
      </c>
      <c r="K139" s="1" t="s">
        <v>93</v>
      </c>
    </row>
    <row r="140" spans="1:11">
      <c r="A140" s="2">
        <v>43952</v>
      </c>
      <c r="B140" t="s">
        <v>89</v>
      </c>
      <c r="C140">
        <v>1</v>
      </c>
      <c r="D140" s="1">
        <v>1725122</v>
      </c>
      <c r="E140" s="1">
        <f>788135+632767</f>
        <v>1420902</v>
      </c>
      <c r="F140" s="1">
        <f>184527+347258</f>
        <v>531785</v>
      </c>
      <c r="H140" s="1">
        <v>788135</v>
      </c>
      <c r="K140" s="1" t="s">
        <v>94</v>
      </c>
    </row>
    <row r="141" spans="1:11">
      <c r="A141" s="2">
        <v>43983</v>
      </c>
      <c r="B141" t="s">
        <v>89</v>
      </c>
      <c r="C141">
        <v>1</v>
      </c>
      <c r="D141" s="7">
        <v>1745012</v>
      </c>
      <c r="E141" s="1">
        <f>799062+645955</f>
        <v>1445017</v>
      </c>
      <c r="F141" s="1">
        <f>187353+354361</f>
        <v>541714</v>
      </c>
      <c r="H141" s="1">
        <v>799062</v>
      </c>
      <c r="K141" s="1" t="s">
        <v>95</v>
      </c>
    </row>
    <row r="142" spans="1:11">
      <c r="A142" s="2">
        <v>43586</v>
      </c>
      <c r="B142" t="s">
        <v>18</v>
      </c>
      <c r="C142">
        <v>1</v>
      </c>
      <c r="D142" s="1">
        <v>829652</v>
      </c>
      <c r="E142" s="1">
        <v>706978</v>
      </c>
      <c r="F142" s="1">
        <v>257434</v>
      </c>
      <c r="K142" s="1" t="s">
        <v>84</v>
      </c>
    </row>
    <row r="143" spans="1:11">
      <c r="A143" s="2">
        <v>43862</v>
      </c>
      <c r="B143" t="s">
        <v>18</v>
      </c>
      <c r="C143">
        <v>1</v>
      </c>
      <c r="D143" s="1">
        <v>829830</v>
      </c>
      <c r="E143" s="1">
        <v>704582</v>
      </c>
      <c r="F143" s="1">
        <v>264313</v>
      </c>
      <c r="K143" s="1" t="s">
        <v>51</v>
      </c>
    </row>
    <row r="144" spans="1:11">
      <c r="A144" s="2">
        <v>43891</v>
      </c>
      <c r="B144" t="s">
        <v>18</v>
      </c>
      <c r="C144">
        <v>1</v>
      </c>
      <c r="D144" s="1">
        <v>830165</v>
      </c>
      <c r="E144" s="1">
        <v>704829</v>
      </c>
      <c r="F144" s="1">
        <v>264790</v>
      </c>
      <c r="K144" s="1" t="s">
        <v>51</v>
      </c>
    </row>
    <row r="145" spans="1:11">
      <c r="A145" s="2">
        <v>43922</v>
      </c>
      <c r="B145" t="s">
        <v>18</v>
      </c>
      <c r="C145">
        <v>1</v>
      </c>
      <c r="D145" s="1">
        <v>831002</v>
      </c>
      <c r="E145" s="1">
        <v>705495</v>
      </c>
      <c r="F145" s="1">
        <v>264217</v>
      </c>
      <c r="K145" s="1" t="s">
        <v>51</v>
      </c>
    </row>
    <row r="146" spans="1:11">
      <c r="A146" s="2">
        <v>43952</v>
      </c>
      <c r="B146" t="s">
        <v>18</v>
      </c>
      <c r="C146">
        <v>1</v>
      </c>
      <c r="D146" s="1">
        <v>842645</v>
      </c>
      <c r="E146" s="1">
        <v>716185</v>
      </c>
      <c r="F146" s="1">
        <v>269410</v>
      </c>
      <c r="K146" s="1" t="s">
        <v>51</v>
      </c>
    </row>
    <row r="147" spans="1:11">
      <c r="A147" s="2">
        <v>43983</v>
      </c>
      <c r="B147" t="s">
        <v>18</v>
      </c>
      <c r="C147">
        <v>1</v>
      </c>
      <c r="D147" s="1">
        <v>853251</v>
      </c>
      <c r="E147" s="1">
        <v>726371</v>
      </c>
      <c r="F147" s="1">
        <v>273133</v>
      </c>
      <c r="K147" s="1" t="s">
        <v>60</v>
      </c>
    </row>
    <row r="148" spans="1:11">
      <c r="A148" s="2">
        <v>43586</v>
      </c>
      <c r="B148" t="s">
        <v>66</v>
      </c>
      <c r="C148">
        <v>1</v>
      </c>
      <c r="D148" s="5">
        <v>4320982</v>
      </c>
      <c r="E148" s="1">
        <v>4061827</v>
      </c>
      <c r="K148" s="1" t="s">
        <v>85</v>
      </c>
    </row>
    <row r="149" spans="1:11">
      <c r="A149" s="2">
        <v>43862</v>
      </c>
      <c r="B149" t="s">
        <v>66</v>
      </c>
      <c r="C149">
        <v>1</v>
      </c>
      <c r="D149" s="1">
        <v>4187332</v>
      </c>
      <c r="E149" s="1">
        <v>3890320</v>
      </c>
      <c r="K149" s="1" t="s">
        <v>67</v>
      </c>
    </row>
    <row r="150" spans="1:11">
      <c r="A150" s="2">
        <v>43891</v>
      </c>
      <c r="B150" t="s">
        <v>66</v>
      </c>
      <c r="C150">
        <v>1</v>
      </c>
      <c r="D150" s="1">
        <v>4186015</v>
      </c>
      <c r="E150" s="1">
        <v>3939858</v>
      </c>
      <c r="K150" s="1" t="s">
        <v>68</v>
      </c>
    </row>
    <row r="151" spans="1:11">
      <c r="A151" s="2">
        <v>43922</v>
      </c>
      <c r="B151" t="s">
        <v>66</v>
      </c>
      <c r="C151">
        <v>1</v>
      </c>
      <c r="D151" s="1">
        <v>4250701</v>
      </c>
      <c r="E151" s="1">
        <v>4004877</v>
      </c>
      <c r="K151" s="1" t="s">
        <v>69</v>
      </c>
    </row>
    <row r="152" spans="1:11">
      <c r="A152" s="2">
        <v>43952</v>
      </c>
      <c r="B152" t="s">
        <v>66</v>
      </c>
      <c r="C152">
        <v>1</v>
      </c>
      <c r="D152" s="1">
        <v>4363873</v>
      </c>
      <c r="E152" s="1">
        <v>4114353</v>
      </c>
      <c r="K152" s="1" t="s">
        <v>70</v>
      </c>
    </row>
    <row r="153" spans="1:11">
      <c r="A153" s="2">
        <v>43586</v>
      </c>
      <c r="B153" t="s">
        <v>115</v>
      </c>
      <c r="C153">
        <v>0</v>
      </c>
      <c r="D153" s="1">
        <v>786460</v>
      </c>
      <c r="E153" s="1">
        <f>D153-17121-139832</f>
        <v>629507</v>
      </c>
      <c r="K153" s="1" t="s">
        <v>121</v>
      </c>
    </row>
    <row r="154" spans="1:11">
      <c r="A154" s="2">
        <v>43617</v>
      </c>
      <c r="B154" t="s">
        <v>115</v>
      </c>
      <c r="C154">
        <v>0</v>
      </c>
      <c r="K154" s="1" t="s">
        <v>122</v>
      </c>
    </row>
    <row r="155" spans="1:11">
      <c r="A155" s="2">
        <v>43862</v>
      </c>
      <c r="B155" t="s">
        <v>115</v>
      </c>
      <c r="C155">
        <v>0</v>
      </c>
      <c r="D155" s="1">
        <v>781770</v>
      </c>
      <c r="E155" s="1">
        <f>D155-1785-140739</f>
        <v>639246</v>
      </c>
      <c r="K155" s="1" t="s">
        <v>120</v>
      </c>
    </row>
    <row r="156" spans="1:11">
      <c r="A156" s="2">
        <v>43891</v>
      </c>
      <c r="B156" t="s">
        <v>115</v>
      </c>
      <c r="C156">
        <v>0</v>
      </c>
      <c r="D156" s="1">
        <v>785366</v>
      </c>
      <c r="E156" s="1">
        <f>D156-17224-140689</f>
        <v>627453</v>
      </c>
      <c r="K156" s="1" t="s">
        <v>119</v>
      </c>
    </row>
    <row r="157" spans="1:11">
      <c r="A157" s="2">
        <v>43922</v>
      </c>
      <c r="B157" t="s">
        <v>115</v>
      </c>
      <c r="C157">
        <v>0</v>
      </c>
      <c r="D157" s="1">
        <v>807902</v>
      </c>
      <c r="E157" s="1">
        <f>D157-17065-140801</f>
        <v>650036</v>
      </c>
      <c r="K157" s="1" t="s">
        <v>118</v>
      </c>
    </row>
    <row r="158" spans="1:11">
      <c r="A158" s="2">
        <v>43952</v>
      </c>
      <c r="B158" t="s">
        <v>115</v>
      </c>
      <c r="C158">
        <v>0</v>
      </c>
      <c r="D158" s="1">
        <v>821803</v>
      </c>
      <c r="E158" s="1">
        <f>D158-16681-140466</f>
        <v>664656</v>
      </c>
      <c r="K158" s="1" t="s">
        <v>117</v>
      </c>
    </row>
    <row r="159" spans="1:11">
      <c r="A159" s="2">
        <v>43983</v>
      </c>
      <c r="B159" t="s">
        <v>115</v>
      </c>
      <c r="C159">
        <v>0</v>
      </c>
      <c r="D159" s="1">
        <v>833302</v>
      </c>
      <c r="E159" s="1">
        <f>D159-16920-141096</f>
        <v>675286</v>
      </c>
      <c r="K159" s="1" t="s">
        <v>116</v>
      </c>
    </row>
    <row r="160" spans="1:11">
      <c r="A160" s="2">
        <v>43586</v>
      </c>
      <c r="B160" t="s">
        <v>123</v>
      </c>
      <c r="C160">
        <v>1</v>
      </c>
      <c r="D160" s="1">
        <v>994329</v>
      </c>
      <c r="E160" s="1">
        <f>D160-32383-51124-186-44898-1632</f>
        <v>864106</v>
      </c>
      <c r="F160" s="1">
        <f>87974+271972</f>
        <v>359946</v>
      </c>
      <c r="K160" s="1" t="s">
        <v>129</v>
      </c>
    </row>
    <row r="161" spans="1:11">
      <c r="A161" s="2">
        <v>43617</v>
      </c>
      <c r="B161" t="s">
        <v>123</v>
      </c>
      <c r="C161">
        <v>1</v>
      </c>
      <c r="D161" s="1">
        <v>993362</v>
      </c>
      <c r="E161" s="1">
        <f>D161-32341-51205-190-45119-1628</f>
        <v>862879</v>
      </c>
      <c r="F161" s="1">
        <f>86856+272121</f>
        <v>358977</v>
      </c>
      <c r="K161" s="1" t="s">
        <v>130</v>
      </c>
    </row>
    <row r="162" spans="1:11">
      <c r="A162" s="2">
        <v>43862</v>
      </c>
      <c r="B162" t="s">
        <v>123</v>
      </c>
      <c r="C162">
        <v>1</v>
      </c>
      <c r="D162" s="1">
        <v>1009450</v>
      </c>
      <c r="E162" s="1">
        <f>D162-32363-52389-196-46379-1569</f>
        <v>876554</v>
      </c>
      <c r="F162" s="1">
        <f>83708+285469</f>
        <v>369177</v>
      </c>
      <c r="K162" s="1" t="s">
        <v>128</v>
      </c>
    </row>
    <row r="163" spans="1:11">
      <c r="A163" s="2">
        <v>43891</v>
      </c>
      <c r="B163" t="s">
        <v>123</v>
      </c>
      <c r="C163">
        <v>1</v>
      </c>
      <c r="D163" s="1">
        <v>1011011</v>
      </c>
      <c r="E163" s="1">
        <f>D163-32352-52336-196-46554-1581</f>
        <v>877992</v>
      </c>
      <c r="F163" s="1">
        <f>83461+287286</f>
        <v>370747</v>
      </c>
      <c r="K163" s="1" t="s">
        <v>124</v>
      </c>
    </row>
    <row r="164" spans="1:11">
      <c r="A164" s="2">
        <v>43922</v>
      </c>
      <c r="B164" t="s">
        <v>123</v>
      </c>
      <c r="C164">
        <v>1</v>
      </c>
      <c r="D164" s="1">
        <v>1014781</v>
      </c>
      <c r="E164" s="1">
        <f>D164-32427-52276-200-56557-1604</f>
        <v>871717</v>
      </c>
      <c r="F164" s="1">
        <f>84051+290899</f>
        <v>374950</v>
      </c>
      <c r="K164" s="1" t="s">
        <v>125</v>
      </c>
    </row>
    <row r="165" spans="1:11">
      <c r="A165" s="2">
        <v>43952</v>
      </c>
      <c r="B165" t="s">
        <v>123</v>
      </c>
      <c r="C165">
        <v>1</v>
      </c>
      <c r="D165" s="1">
        <v>1033208</v>
      </c>
      <c r="E165" s="1">
        <f>D165-32438-52298-192-46694-1643</f>
        <v>899943</v>
      </c>
      <c r="F165" s="1">
        <f>86532+299426</f>
        <v>385958</v>
      </c>
      <c r="K165" s="1" t="s">
        <v>126</v>
      </c>
    </row>
    <row r="166" spans="1:11">
      <c r="A166" s="2">
        <v>43983</v>
      </c>
      <c r="B166" t="s">
        <v>123</v>
      </c>
      <c r="C166">
        <v>1</v>
      </c>
      <c r="D166" s="1">
        <v>1044351</v>
      </c>
      <c r="E166" s="1">
        <f>D166-32357-52149-189-46732-1695</f>
        <v>911229</v>
      </c>
      <c r="F166" s="1">
        <f>303976+87941</f>
        <v>391917</v>
      </c>
      <c r="K166" s="1" t="s">
        <v>127</v>
      </c>
    </row>
    <row r="167" spans="1:11">
      <c r="A167" s="2">
        <v>43586</v>
      </c>
      <c r="B167" t="s">
        <v>38</v>
      </c>
      <c r="C167">
        <v>1</v>
      </c>
      <c r="D167" s="1">
        <v>2874375</v>
      </c>
      <c r="H167" s="1">
        <v>1218005</v>
      </c>
      <c r="K167" s="1" t="s">
        <v>44</v>
      </c>
    </row>
    <row r="168" spans="1:11">
      <c r="A168" s="2">
        <v>43862</v>
      </c>
      <c r="B168" t="s">
        <v>38</v>
      </c>
      <c r="C168">
        <v>1</v>
      </c>
      <c r="D168" s="1">
        <v>2838748</v>
      </c>
      <c r="H168" s="1">
        <v>1202310</v>
      </c>
      <c r="K168" s="1" t="s">
        <v>39</v>
      </c>
    </row>
    <row r="169" spans="1:11">
      <c r="A169" s="2">
        <v>43891</v>
      </c>
      <c r="B169" t="s">
        <v>38</v>
      </c>
      <c r="C169">
        <v>1</v>
      </c>
      <c r="D169" s="1">
        <v>2831563</v>
      </c>
      <c r="H169" s="1">
        <v>1197554</v>
      </c>
      <c r="K169" s="1" t="s">
        <v>39</v>
      </c>
    </row>
    <row r="170" spans="1:11">
      <c r="A170" s="2">
        <v>43922</v>
      </c>
      <c r="B170" t="s">
        <v>38</v>
      </c>
      <c r="C170">
        <v>1</v>
      </c>
      <c r="D170" s="1">
        <v>2843814</v>
      </c>
      <c r="H170" s="1">
        <v>1201786</v>
      </c>
      <c r="K170" s="1" t="s">
        <v>39</v>
      </c>
    </row>
    <row r="171" spans="1:11">
      <c r="A171" s="2">
        <v>43952</v>
      </c>
      <c r="B171" t="s">
        <v>38</v>
      </c>
      <c r="C171">
        <v>1</v>
      </c>
      <c r="D171" s="1">
        <v>2893666</v>
      </c>
      <c r="H171" s="1">
        <v>1217215</v>
      </c>
      <c r="K171" s="1" t="s">
        <v>44</v>
      </c>
    </row>
    <row r="172" spans="1:11">
      <c r="A172" s="2">
        <v>43983</v>
      </c>
      <c r="B172" t="s">
        <v>38</v>
      </c>
      <c r="C172">
        <v>1</v>
      </c>
      <c r="D172" s="1">
        <v>2939902</v>
      </c>
      <c r="H172" s="1">
        <v>1233435</v>
      </c>
      <c r="K172" s="1" t="s">
        <v>96</v>
      </c>
    </row>
    <row r="173" spans="1:11">
      <c r="A173" s="2">
        <v>43586</v>
      </c>
      <c r="B173" t="s">
        <v>131</v>
      </c>
      <c r="C173">
        <v>0</v>
      </c>
      <c r="D173" s="1">
        <v>116411</v>
      </c>
      <c r="K173" s="1" t="s">
        <v>137</v>
      </c>
    </row>
    <row r="174" spans="1:11">
      <c r="A174" s="2">
        <v>43617</v>
      </c>
      <c r="B174" t="s">
        <v>131</v>
      </c>
      <c r="C174">
        <v>0</v>
      </c>
      <c r="D174" s="1">
        <v>116643</v>
      </c>
      <c r="K174" s="1" t="s">
        <v>136</v>
      </c>
    </row>
    <row r="175" spans="1:11">
      <c r="A175" s="2">
        <v>43862</v>
      </c>
      <c r="B175" t="s">
        <v>131</v>
      </c>
      <c r="C175">
        <v>0</v>
      </c>
      <c r="D175" s="1">
        <v>114752</v>
      </c>
      <c r="K175" s="1" t="s">
        <v>135</v>
      </c>
    </row>
    <row r="176" spans="1:11">
      <c r="A176" s="2">
        <v>43891</v>
      </c>
      <c r="B176" t="s">
        <v>131</v>
      </c>
      <c r="C176">
        <v>0</v>
      </c>
      <c r="D176" s="1">
        <v>115111</v>
      </c>
      <c r="K176" s="1" t="s">
        <v>134</v>
      </c>
    </row>
    <row r="177" spans="1:11">
      <c r="A177" s="2">
        <v>43922</v>
      </c>
      <c r="B177" t="s">
        <v>131</v>
      </c>
      <c r="C177">
        <v>0</v>
      </c>
      <c r="D177" s="1">
        <v>114689</v>
      </c>
      <c r="K177" s="1" t="s">
        <v>133</v>
      </c>
    </row>
    <row r="178" spans="1:11">
      <c r="A178" s="2">
        <v>43952</v>
      </c>
      <c r="B178" t="s">
        <v>131</v>
      </c>
      <c r="C178">
        <v>0</v>
      </c>
      <c r="D178" s="1">
        <v>116100</v>
      </c>
      <c r="K178" s="1" t="s">
        <v>132</v>
      </c>
    </row>
    <row r="179" spans="1:11">
      <c r="A179" s="2">
        <v>43983</v>
      </c>
      <c r="B179" t="s">
        <v>131</v>
      </c>
      <c r="C179">
        <v>0</v>
      </c>
    </row>
    <row r="180" spans="1:11">
      <c r="A180" s="2">
        <v>43586</v>
      </c>
      <c r="B180" t="s">
        <v>104</v>
      </c>
      <c r="C180">
        <v>0</v>
      </c>
      <c r="D180" s="1">
        <v>1406988</v>
      </c>
      <c r="E180" s="1">
        <v>1340006</v>
      </c>
      <c r="H180" s="1">
        <v>778413</v>
      </c>
      <c r="K180" s="1" t="s">
        <v>107</v>
      </c>
    </row>
    <row r="181" spans="1:11">
      <c r="A181" s="2">
        <v>43617</v>
      </c>
      <c r="B181" t="s">
        <v>104</v>
      </c>
      <c r="C181">
        <v>0</v>
      </c>
      <c r="D181" s="1">
        <v>1412603</v>
      </c>
      <c r="E181" s="1">
        <v>1345176</v>
      </c>
      <c r="H181" s="1">
        <v>780184</v>
      </c>
      <c r="K181" s="1" t="s">
        <v>110</v>
      </c>
    </row>
    <row r="182" spans="1:11">
      <c r="A182" s="2">
        <v>43862</v>
      </c>
      <c r="B182" t="s">
        <v>104</v>
      </c>
      <c r="C182">
        <v>0</v>
      </c>
      <c r="D182" s="1">
        <v>1421888</v>
      </c>
      <c r="E182" s="1">
        <v>1352943</v>
      </c>
      <c r="H182" s="1">
        <v>788900</v>
      </c>
      <c r="K182" s="1" t="s">
        <v>109</v>
      </c>
    </row>
    <row r="183" spans="1:11">
      <c r="A183" s="2">
        <v>43891</v>
      </c>
      <c r="B183" t="s">
        <v>104</v>
      </c>
      <c r="C183">
        <v>0</v>
      </c>
      <c r="D183" s="1">
        <v>1421442</v>
      </c>
      <c r="E183" s="1">
        <v>1352041</v>
      </c>
      <c r="H183" s="1">
        <v>790385</v>
      </c>
      <c r="J183"/>
      <c r="K183" s="1" t="s">
        <v>108</v>
      </c>
    </row>
    <row r="184" spans="1:11">
      <c r="A184" s="2">
        <v>43922</v>
      </c>
      <c r="B184" t="s">
        <v>104</v>
      </c>
      <c r="C184">
        <v>0</v>
      </c>
      <c r="D184" s="1">
        <v>1415257</v>
      </c>
      <c r="E184" s="1">
        <v>1345715</v>
      </c>
      <c r="H184" s="1">
        <v>787278</v>
      </c>
      <c r="K184" s="1" t="s">
        <v>105</v>
      </c>
    </row>
    <row r="185" spans="1:11">
      <c r="A185" s="2">
        <v>43952</v>
      </c>
      <c r="B185" t="s">
        <v>104</v>
      </c>
      <c r="C185">
        <v>0</v>
      </c>
      <c r="D185" s="1">
        <v>1432200</v>
      </c>
      <c r="E185" s="1">
        <v>1362452</v>
      </c>
      <c r="H185" s="1">
        <v>795116</v>
      </c>
      <c r="K185" s="1" t="s">
        <v>106</v>
      </c>
    </row>
    <row r="186" spans="1:11">
      <c r="A186" s="2">
        <v>43983</v>
      </c>
      <c r="B186" t="s">
        <v>104</v>
      </c>
      <c r="C186">
        <v>0</v>
      </c>
    </row>
    <row r="187" spans="1:11">
      <c r="A187" s="2">
        <v>43586</v>
      </c>
      <c r="B187" t="s">
        <v>138</v>
      </c>
      <c r="C187">
        <v>0</v>
      </c>
      <c r="D187" s="1">
        <v>4253423</v>
      </c>
      <c r="E187" s="1">
        <v>3467411</v>
      </c>
      <c r="K187" s="1" t="s">
        <v>139</v>
      </c>
    </row>
    <row r="188" spans="1:11">
      <c r="A188" s="2">
        <v>43617</v>
      </c>
      <c r="B188" t="s">
        <v>138</v>
      </c>
      <c r="C188">
        <v>0</v>
      </c>
      <c r="D188" s="1">
        <v>4232597</v>
      </c>
      <c r="E188" s="1">
        <v>3448725</v>
      </c>
      <c r="K188" s="1" t="s">
        <v>139</v>
      </c>
    </row>
    <row r="189" spans="1:11">
      <c r="A189" s="2">
        <v>43862</v>
      </c>
      <c r="B189" t="s">
        <v>138</v>
      </c>
      <c r="C189">
        <v>0</v>
      </c>
      <c r="D189" s="1">
        <v>4221845.5217204737</v>
      </c>
      <c r="E189" s="1">
        <v>3437692.0103531005</v>
      </c>
      <c r="K189" s="1" t="s">
        <v>139</v>
      </c>
    </row>
    <row r="190" spans="1:11">
      <c r="A190" s="2">
        <v>43891</v>
      </c>
      <c r="B190" t="s">
        <v>138</v>
      </c>
      <c r="C190">
        <v>0</v>
      </c>
      <c r="D190" s="1">
        <v>4209930.0941969035</v>
      </c>
      <c r="E190" s="1">
        <v>3426229.500111118</v>
      </c>
      <c r="K190" s="1" t="s">
        <v>139</v>
      </c>
    </row>
    <row r="191" spans="1:11">
      <c r="A191" s="2">
        <v>43922</v>
      </c>
      <c r="B191" t="s">
        <v>138</v>
      </c>
      <c r="C191">
        <v>0</v>
      </c>
      <c r="D191" s="1">
        <v>4212009.1791467862</v>
      </c>
      <c r="E191" s="1">
        <v>3428257.1526362537</v>
      </c>
      <c r="K191" s="1" t="s">
        <v>139</v>
      </c>
    </row>
    <row r="192" spans="1:11">
      <c r="A192" s="2">
        <v>43952</v>
      </c>
      <c r="B192" t="s">
        <v>138</v>
      </c>
      <c r="C192">
        <v>0</v>
      </c>
      <c r="D192" s="1">
        <v>4337632.5837375075</v>
      </c>
      <c r="E192" s="1">
        <v>3547416.8573057828</v>
      </c>
      <c r="K192" s="1" t="s">
        <v>139</v>
      </c>
    </row>
    <row r="193" spans="1:11">
      <c r="A193" s="2">
        <v>43983</v>
      </c>
      <c r="B193" t="s">
        <v>138</v>
      </c>
      <c r="C193">
        <v>0</v>
      </c>
    </row>
    <row r="194" spans="1:11">
      <c r="A194" s="2">
        <v>43586</v>
      </c>
      <c r="B194" t="s">
        <v>20</v>
      </c>
      <c r="C194">
        <v>1</v>
      </c>
      <c r="D194" s="1">
        <v>1370580</v>
      </c>
      <c r="E194" s="1">
        <f>928663+138593</f>
        <v>1067256</v>
      </c>
      <c r="F194" s="1">
        <v>255592</v>
      </c>
      <c r="K194" s="1" t="s">
        <v>86</v>
      </c>
    </row>
    <row r="195" spans="1:11">
      <c r="A195" s="2">
        <v>43862</v>
      </c>
      <c r="B195" t="s">
        <v>20</v>
      </c>
      <c r="C195">
        <v>1</v>
      </c>
      <c r="D195" s="1">
        <v>1509024</v>
      </c>
      <c r="E195" s="1">
        <f>1069457+151841</f>
        <v>1221298</v>
      </c>
      <c r="F195" s="1">
        <v>381927</v>
      </c>
      <c r="K195" s="1" t="s">
        <v>21</v>
      </c>
    </row>
    <row r="196" spans="1:11">
      <c r="A196" s="2">
        <v>43891</v>
      </c>
      <c r="B196" t="s">
        <v>20</v>
      </c>
      <c r="C196">
        <v>1</v>
      </c>
      <c r="D196" s="1">
        <v>1515995</v>
      </c>
      <c r="E196" s="1">
        <f>1076318+152188</f>
        <v>1228506</v>
      </c>
      <c r="F196" s="1">
        <v>386989</v>
      </c>
      <c r="K196" s="1" t="s">
        <v>21</v>
      </c>
    </row>
    <row r="197" spans="1:11">
      <c r="A197" s="2">
        <v>43922</v>
      </c>
      <c r="B197" t="s">
        <v>20</v>
      </c>
      <c r="C197">
        <v>1</v>
      </c>
      <c r="D197" s="1">
        <v>1534670</v>
      </c>
      <c r="E197" s="1">
        <f>1092032+153615</f>
        <v>1245647</v>
      </c>
      <c r="F197" s="1">
        <v>396623</v>
      </c>
      <c r="K197" s="1" t="s">
        <v>21</v>
      </c>
    </row>
    <row r="198" spans="1:11">
      <c r="A198" s="2">
        <v>43952</v>
      </c>
      <c r="B198" t="s">
        <v>20</v>
      </c>
      <c r="C198">
        <v>1</v>
      </c>
      <c r="D198" s="1">
        <v>1585870</v>
      </c>
      <c r="E198" s="1">
        <f>1135867+155482</f>
        <v>1291349</v>
      </c>
      <c r="F198" s="1">
        <v>416491</v>
      </c>
      <c r="K198" s="1" t="s">
        <v>21</v>
      </c>
    </row>
    <row r="199" spans="1:11">
      <c r="A199" s="2">
        <v>43983</v>
      </c>
      <c r="B199" t="s">
        <v>20</v>
      </c>
      <c r="C199">
        <v>1</v>
      </c>
      <c r="D199" s="1">
        <v>1607703</v>
      </c>
      <c r="E199" s="1">
        <f>1156071+155931</f>
        <v>1312002</v>
      </c>
      <c r="F199" s="1">
        <v>426100</v>
      </c>
      <c r="K199" s="1" t="s">
        <v>86</v>
      </c>
    </row>
    <row r="200" spans="1:11">
      <c r="A200" s="2">
        <v>43586</v>
      </c>
      <c r="B200" t="s">
        <v>22</v>
      </c>
      <c r="C200">
        <v>1</v>
      </c>
      <c r="D200" s="1">
        <v>1824049</v>
      </c>
      <c r="E200" s="1">
        <v>1532554</v>
      </c>
      <c r="F200" s="1">
        <v>552552</v>
      </c>
      <c r="K200" s="1" t="s">
        <v>15</v>
      </c>
    </row>
    <row r="201" spans="1:11">
      <c r="A201" s="2">
        <v>43862</v>
      </c>
      <c r="B201" t="s">
        <v>22</v>
      </c>
      <c r="C201">
        <v>1</v>
      </c>
      <c r="D201" s="1">
        <v>1823818</v>
      </c>
      <c r="E201" s="1">
        <v>1532780</v>
      </c>
      <c r="F201" s="1">
        <v>557191</v>
      </c>
      <c r="K201" s="1" t="s">
        <v>15</v>
      </c>
    </row>
    <row r="202" spans="1:11">
      <c r="A202" s="2">
        <v>43891</v>
      </c>
      <c r="B202" t="s">
        <v>22</v>
      </c>
      <c r="C202">
        <v>1</v>
      </c>
      <c r="D202" s="1">
        <v>1819855</v>
      </c>
      <c r="E202" s="1">
        <v>1528905</v>
      </c>
      <c r="F202" s="1">
        <v>555625</v>
      </c>
      <c r="K202" s="1" t="s">
        <v>15</v>
      </c>
    </row>
    <row r="203" spans="1:11">
      <c r="A203" s="2">
        <v>43922</v>
      </c>
      <c r="B203" t="s">
        <v>22</v>
      </c>
      <c r="C203">
        <v>1</v>
      </c>
      <c r="D203" s="1">
        <v>1828449</v>
      </c>
      <c r="E203" s="1">
        <v>1537079</v>
      </c>
      <c r="F203" s="1">
        <v>562324</v>
      </c>
      <c r="K203" s="1" t="s">
        <v>15</v>
      </c>
    </row>
    <row r="204" spans="1:11">
      <c r="A204" s="2">
        <v>43952</v>
      </c>
      <c r="B204" t="s">
        <v>22</v>
      </c>
      <c r="C204">
        <v>1</v>
      </c>
      <c r="D204" s="1">
        <v>1843507</v>
      </c>
      <c r="E204" s="1">
        <v>1551551</v>
      </c>
      <c r="F204" s="1">
        <v>574391</v>
      </c>
      <c r="K204" s="1" t="s">
        <v>15</v>
      </c>
    </row>
    <row r="205" spans="1:11">
      <c r="A205" s="2">
        <v>43983</v>
      </c>
      <c r="B205" t="s">
        <v>22</v>
      </c>
      <c r="C205">
        <v>1</v>
      </c>
      <c r="D205" s="1">
        <v>1857451</v>
      </c>
      <c r="E205" s="1">
        <v>1565179</v>
      </c>
      <c r="F205" s="1">
        <v>584793</v>
      </c>
      <c r="K205" s="1" t="s">
        <v>15</v>
      </c>
    </row>
    <row r="206" spans="1:11">
      <c r="A206" s="2">
        <v>43586</v>
      </c>
      <c r="B206" t="s">
        <v>23</v>
      </c>
      <c r="C206">
        <v>0</v>
      </c>
      <c r="D206" s="1">
        <v>1180152</v>
      </c>
      <c r="E206" s="1">
        <v>832594</v>
      </c>
      <c r="K206" s="1" t="s">
        <v>61</v>
      </c>
    </row>
    <row r="207" spans="1:11">
      <c r="A207" s="2">
        <v>43617</v>
      </c>
      <c r="B207" t="s">
        <v>23</v>
      </c>
      <c r="C207">
        <v>0</v>
      </c>
      <c r="D207" s="1">
        <v>1182594</v>
      </c>
      <c r="E207" s="1">
        <v>834896</v>
      </c>
    </row>
    <row r="208" spans="1:11">
      <c r="A208" s="2">
        <v>43862</v>
      </c>
      <c r="B208" t="s">
        <v>23</v>
      </c>
      <c r="C208">
        <v>0</v>
      </c>
      <c r="D208" s="1">
        <v>1183544</v>
      </c>
      <c r="E208" s="1">
        <v>829951</v>
      </c>
      <c r="K208" s="1" t="s">
        <v>24</v>
      </c>
    </row>
    <row r="209" spans="1:11">
      <c r="A209" s="2">
        <v>43891</v>
      </c>
      <c r="B209" t="s">
        <v>23</v>
      </c>
      <c r="C209">
        <v>0</v>
      </c>
      <c r="D209" s="1">
        <v>1186742</v>
      </c>
      <c r="E209" s="1">
        <v>832273</v>
      </c>
      <c r="K209" s="1" t="s">
        <v>24</v>
      </c>
    </row>
    <row r="210" spans="1:11">
      <c r="A210" s="2">
        <v>43922</v>
      </c>
      <c r="B210" t="s">
        <v>23</v>
      </c>
      <c r="C210">
        <v>0</v>
      </c>
      <c r="D210" s="1">
        <v>1187838</v>
      </c>
      <c r="E210" s="1">
        <v>832691</v>
      </c>
      <c r="K210" s="1" t="s">
        <v>24</v>
      </c>
    </row>
    <row r="211" spans="1:11">
      <c r="A211" s="2">
        <v>43952</v>
      </c>
      <c r="B211" t="s">
        <v>23</v>
      </c>
      <c r="C211">
        <v>0</v>
      </c>
      <c r="D211" s="1">
        <v>1230860</v>
      </c>
      <c r="E211" s="1">
        <v>871635</v>
      </c>
      <c r="K211" s="1" t="s">
        <v>24</v>
      </c>
    </row>
    <row r="212" spans="1:11">
      <c r="A212" s="2">
        <v>43983</v>
      </c>
      <c r="B212" t="s">
        <v>23</v>
      </c>
      <c r="C212">
        <v>0</v>
      </c>
      <c r="D212" s="1">
        <v>1259319</v>
      </c>
      <c r="E212" s="1">
        <v>897588</v>
      </c>
      <c r="K212" s="1" t="s">
        <v>61</v>
      </c>
    </row>
    <row r="213" spans="1:11">
      <c r="A213" s="2">
        <v>43586</v>
      </c>
      <c r="B213" t="s">
        <v>71</v>
      </c>
      <c r="C213">
        <v>1</v>
      </c>
      <c r="D213" s="1">
        <f>389277+389277*(120214/387225)</f>
        <v>510128.04339337593</v>
      </c>
    </row>
    <row r="214" spans="1:11">
      <c r="A214" s="2">
        <v>43862</v>
      </c>
      <c r="B214" t="s">
        <v>71</v>
      </c>
      <c r="C214">
        <v>1</v>
      </c>
      <c r="D214" s="1">
        <v>507439</v>
      </c>
      <c r="K214" s="1" t="s">
        <v>72</v>
      </c>
    </row>
    <row r="215" spans="1:11">
      <c r="A215" s="2">
        <v>43891</v>
      </c>
      <c r="B215" t="s">
        <v>71</v>
      </c>
      <c r="C215">
        <v>1</v>
      </c>
      <c r="D215" s="1">
        <v>504760</v>
      </c>
      <c r="K215" s="1" t="s">
        <v>72</v>
      </c>
    </row>
    <row r="216" spans="1:11">
      <c r="A216" s="2">
        <v>43922</v>
      </c>
      <c r="B216" t="s">
        <v>71</v>
      </c>
      <c r="C216">
        <v>1</v>
      </c>
      <c r="D216" s="1">
        <v>512467</v>
      </c>
      <c r="K216" s="1" t="s">
        <v>72</v>
      </c>
    </row>
    <row r="217" spans="1:11">
      <c r="A217" s="2">
        <v>43952</v>
      </c>
      <c r="B217" t="s">
        <v>71</v>
      </c>
      <c r="C217">
        <v>1</v>
      </c>
      <c r="D217" s="1">
        <v>522467</v>
      </c>
      <c r="K217" s="1" t="s">
        <v>72</v>
      </c>
    </row>
    <row r="218" spans="1:11">
      <c r="A218" s="2">
        <v>43983</v>
      </c>
      <c r="B218" t="s">
        <v>71</v>
      </c>
      <c r="C218">
        <v>1</v>
      </c>
      <c r="D218" s="1">
        <v>528304</v>
      </c>
      <c r="K218" s="1" t="s">
        <v>72</v>
      </c>
    </row>
  </sheetData>
  <autoFilter ref="A1:K218" xr:uid="{E51DF702-1AAE-47C3-AD39-1C6A92E0C7F7}">
    <sortState xmlns:xlrd2="http://schemas.microsoft.com/office/spreadsheetml/2017/richdata2" ref="A2:K218">
      <sortCondition ref="B2:B218"/>
      <sortCondition ref="A2:A218"/>
    </sortState>
  </autoFilter>
  <sortState xmlns:xlrd2="http://schemas.microsoft.com/office/spreadsheetml/2017/richdata2" ref="A4:K218">
    <sortCondition ref="B2:B218"/>
    <sortCondition ref="A2:A218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547E-07F2-47AA-A054-76523E6B0C39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freni</dc:creator>
  <cp:lastModifiedBy>freni</cp:lastModifiedBy>
  <dcterms:created xsi:type="dcterms:W3CDTF">2020-05-04T21:57:05Z</dcterms:created>
  <dcterms:modified xsi:type="dcterms:W3CDTF">2020-08-04T17:24:44Z</dcterms:modified>
</cp:coreProperties>
</file>