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SimResults\"/>
    </mc:Choice>
  </mc:AlternateContent>
  <xr:revisionPtr revIDLastSave="0" documentId="13_ncr:1_{68256BA4-5BA4-4158-BDD0-2D7D073B30C0}" xr6:coauthVersionLast="46" xr6:coauthVersionMax="46" xr10:uidLastSave="{00000000-0000-0000-0000-000000000000}"/>
  <bookViews>
    <workbookView xWindow="10530" yWindow="3075" windowWidth="17280" windowHeight="10110" activeTab="1" xr2:uid="{86C44CE1-1010-4E30-92B1-BDE677C7682C}"/>
  </bookViews>
  <sheets>
    <sheet name="Sheet1" sheetId="1" r:id="rId1"/>
    <sheet name="2021a_210306_005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</calcChain>
</file>

<file path=xl/sharedStrings.xml><?xml version="1.0" encoding="utf-8"?>
<sst xmlns="http://schemas.openxmlformats.org/spreadsheetml/2006/main" count="1955" uniqueCount="109">
  <si>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</si>
  <si>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</si>
  <si>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</si>
  <si>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</si>
  <si>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</si>
  <si>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</si>
  <si>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</si>
  <si>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</si>
  <si>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</si>
  <si>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</si>
  <si>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</si>
  <si>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</si>
  <si>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</si>
  <si>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</si>
  <si>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</si>
  <si>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</si>
  <si>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</si>
  <si>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</si>
  <si>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</si>
  <si>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</si>
  <si>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</si>
  <si>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</si>
  <si>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</si>
  <si>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</si>
  <si>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</si>
  <si>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</si>
  <si>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</si>
  <si>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</si>
  <si>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</si>
  <si>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</si>
  <si>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</si>
  <si>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</si>
  <si>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</si>
  <si>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</si>
  <si>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</si>
  <si>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</si>
  <si>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</si>
  <si>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</si>
  <si>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</si>
  <si>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</si>
  <si>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</si>
  <si>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</si>
  <si>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</si>
  <si>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</si>
  <si>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</si>
  <si>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</si>
  <si>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</si>
  <si>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</si>
  <si>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</si>
  <si>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</si>
  <si>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</si>
  <si>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</si>
  <si>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</si>
  <si>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</si>
  <si>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</si>
  <si>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</si>
  <si>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</si>
  <si>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</si>
  <si>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</si>
  <si>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</si>
  <si>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</si>
  <si>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</si>
  <si>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</si>
  <si>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</si>
  <si>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</si>
  <si>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</si>
  <si>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</si>
  <si>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</si>
  <si>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</si>
  <si>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</si>
  <si>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</si>
  <si>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</si>
  <si>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</si>
  <si>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</si>
  <si>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</si>
  <si>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</si>
  <si>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</si>
  <si>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</si>
  <si>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</si>
  <si>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</si>
  <si>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</si>
  <si>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</si>
  <si>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</si>
  <si>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</si>
  <si>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</si>
  <si>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</si>
  <si>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</si>
  <si>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</si>
  <si>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</si>
  <si>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</si>
  <si>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</si>
  <si>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</si>
  <si>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</si>
  <si>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</si>
  <si>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</si>
  <si>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</si>
  <si>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</si>
  <si>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</si>
  <si>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</si>
  <si>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</si>
  <si>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</si>
  <si>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</si>
  <si>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</si>
  <si>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</si>
  <si>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</si>
  <si>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06-Mar-2021 11:53:33</t>
  </si>
  <si>
    <t>MUC-VIDEOSTUDIO</t>
  </si>
  <si>
    <t>9.10.0.1602886 (R2021a)</t>
  </si>
  <si>
    <t>v2p0 R21a veh tpl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</si>
</sst>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134E-643A-4157-8974-D43A7FBD24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C7F05-7A15-4F76-AE1A-11260AAD5FD0}">
  <dimension ref="A1:R215"/>
  <sheetViews>
    <sheetView tabSelected="1" topLeftCell="J1" workbookViewId="0">
      <selection activeCell="R4" sqref="R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105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389</v>
      </c>
      <c r="L2">
        <v>8.6738833</v>
      </c>
      <c r="M2">
        <v>226.88352874273582</v>
      </c>
      <c r="N2">
        <v>0.11058338161420299</v>
      </c>
      <c r="O2" s="1" t="str">
        <f>HYPERLINK(".\sm_car_210306_0055\sm_car_210306_0055_001_Ca000TrN_MaWOT_ode23t.png","figure")</f>
        <v>figure</v>
      </c>
      <c r="P2" t="s">
        <v>15</v>
      </c>
      <c r="R2" s="2" t="s">
        <v>106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421</v>
      </c>
      <c r="L3">
        <v>9.8676606000000007</v>
      </c>
      <c r="M3">
        <v>70.111251537789883</v>
      </c>
      <c r="N3">
        <v>-0.34234373473955465</v>
      </c>
      <c r="O3" s="1" t="str">
        <f>HYPERLINK(".\sm_car_210306_0055\sm_car_210306_0055_002_Ca000TrN_MaLSS_ode23t.png","figure")</f>
        <v>figure</v>
      </c>
      <c r="P3" t="s">
        <v>15</v>
      </c>
      <c r="R3" s="2" t="s">
        <v>107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330</v>
      </c>
      <c r="L4">
        <v>10.160237</v>
      </c>
      <c r="M4">
        <v>225.90460582721741</v>
      </c>
      <c r="N4">
        <v>0.107393722409263</v>
      </c>
      <c r="O4" s="1" t="str">
        <f>HYPERLINK(".\sm_car_210306_0055\sm_car_210306_0055_003_Ca001TrN_MaWOT_ode23t.png","figure")</f>
        <v>figure</v>
      </c>
      <c r="P4" t="s">
        <v>15</v>
      </c>
      <c r="R4" t="s">
        <v>108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379</v>
      </c>
      <c r="L5">
        <v>10.6404683</v>
      </c>
      <c r="M5">
        <v>69.789872902470975</v>
      </c>
      <c r="N5">
        <v>-0.33057242981491447</v>
      </c>
      <c r="O5" s="1" t="str">
        <f>HYPERLINK(".\sm_car_210306_0055\sm_car_210306_0055_004_Ca001TrN_MaLSS_ode23t.png","figure")</f>
        <v>figure</v>
      </c>
      <c r="P5" t="s">
        <v>15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343</v>
      </c>
      <c r="L6">
        <v>13.154855100000001</v>
      </c>
      <c r="M6">
        <v>225.8262412142353</v>
      </c>
      <c r="N6">
        <v>0.1269182278719298</v>
      </c>
      <c r="O6" s="1" t="str">
        <f>HYPERLINK(".\sm_car_210306_0055\sm_car_210306_0055_005_Ca002TrN_MaWOT_ode23t.png","figure")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373</v>
      </c>
      <c r="L7">
        <v>12.2918565</v>
      </c>
      <c r="M7">
        <v>69.778580371391371</v>
      </c>
      <c r="N7">
        <v>-0.33398096874002198</v>
      </c>
      <c r="O7" s="1" t="str">
        <f>HYPERLINK(".\sm_car_210306_0055\sm_car_210306_0055_006_Ca002TrN_MaLSS_ode23t.png","figure")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387</v>
      </c>
      <c r="L8">
        <v>14.0912015</v>
      </c>
      <c r="M8">
        <v>225.29123507046793</v>
      </c>
      <c r="N8">
        <v>0.12550028393273455</v>
      </c>
      <c r="O8" s="1" t="str">
        <f>HYPERLINK(".\sm_car_210306_0055\sm_car_210306_0055_007_Ca003TrN_MaWOT_ode23t.png","figure")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419</v>
      </c>
      <c r="L9">
        <v>13.8456157</v>
      </c>
      <c r="M9">
        <v>69.631973597334792</v>
      </c>
      <c r="N9">
        <v>-0.32349613285426004</v>
      </c>
      <c r="O9" s="1" t="str">
        <f>HYPERLINK(".\sm_car_210306_0055\sm_car_210306_0055_008_Ca003TrN_MaLSS_ode23t.png","figure")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1220</v>
      </c>
      <c r="L10">
        <v>18.4462951</v>
      </c>
      <c r="M10">
        <v>226.69447589845643</v>
      </c>
      <c r="N10">
        <v>0.11075119820193763</v>
      </c>
      <c r="O10" s="1" t="str">
        <f>HYPERLINK(".\sm_car_210306_0055\sm_car_210306_0055_009_Ca004TrN_MaWOT_ode23t.png","figure")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1276</v>
      </c>
      <c r="L11">
        <v>19.856383300000001</v>
      </c>
      <c r="M11">
        <v>70.097387541844341</v>
      </c>
      <c r="N11">
        <v>-0.3312097327682903</v>
      </c>
      <c r="O11" s="1" t="str">
        <f>HYPERLINK(".\sm_car_210306_0055\sm_car_210306_0055_010_Ca004TrN_MaLSS_ode23t.png","figure")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1231</v>
      </c>
      <c r="L12">
        <v>21.4398354</v>
      </c>
      <c r="M12">
        <v>225.80125315956462</v>
      </c>
      <c r="N12">
        <v>0.10724922327868934</v>
      </c>
      <c r="O12" s="1" t="str">
        <f>HYPERLINK(".\sm_car_210306_0055\sm_car_210306_0055_011_Ca005TrN_MaWOT_ode23t.png","figure")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1280</v>
      </c>
      <c r="L13">
        <v>22.4594472</v>
      </c>
      <c r="M13">
        <v>69.78678159825472</v>
      </c>
      <c r="N13">
        <v>-0.3280177847932933</v>
      </c>
      <c r="O13" s="1" t="str">
        <f>HYPERLINK(".\sm_car_210306_0055\sm_car_210306_0055_012_Ca005TrN_MaLSS_ode23t.png","figure")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1244</v>
      </c>
      <c r="L14">
        <v>24.921784200000001</v>
      </c>
      <c r="M14">
        <v>225.74933352525764</v>
      </c>
      <c r="N14">
        <v>0.1270273815890611</v>
      </c>
      <c r="O14" s="1" t="str">
        <f>HYPERLINK(".\sm_car_210306_0055\sm_car_210306_0055_013_Ca006TrN_MaWOT_ode23t.png","figure")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1302</v>
      </c>
      <c r="L15">
        <v>25.344153800000001</v>
      </c>
      <c r="M15">
        <v>69.792395414902714</v>
      </c>
      <c r="N15">
        <v>-0.33574626381020961</v>
      </c>
      <c r="O15" s="1" t="str">
        <f>HYPERLINK(".\sm_car_210306_0055\sm_car_210306_0055_014_Ca006TrN_MaLSS_ode23t.png","figure")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1287</v>
      </c>
      <c r="L16">
        <v>25.739995499999999</v>
      </c>
      <c r="M16">
        <v>225.31186290229161</v>
      </c>
      <c r="N16">
        <v>0.12562119349668846</v>
      </c>
      <c r="O16" s="1" t="str">
        <f>HYPERLINK(".\sm_car_210306_0055\sm_car_210306_0055_015_Ca007TrN_MaWOT_ode23t.png","figure")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1314</v>
      </c>
      <c r="L17">
        <v>28.357616400000001</v>
      </c>
      <c r="M17">
        <v>69.657201975048508</v>
      </c>
      <c r="N17">
        <v>-0.3269863544492968</v>
      </c>
      <c r="O17" s="1" t="str">
        <f>HYPERLINK(".\sm_car_210306_0055\sm_car_210306_0055_016_Ca007TrN_MaLSS_ode23t.png","figure")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345</v>
      </c>
      <c r="L18">
        <v>8.0329990000000002</v>
      </c>
      <c r="M18">
        <v>227.67822648702833</v>
      </c>
      <c r="N18">
        <v>-0.21250989025098169</v>
      </c>
      <c r="O18" s="1" t="str">
        <f>HYPERLINK(".\sm_car_210306_0055\sm_car_210306_0055_017_Ca016TrN_MaWOT_ode23t.png","figure")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371</v>
      </c>
      <c r="L19">
        <v>8.1778606000000007</v>
      </c>
      <c r="M19">
        <v>70.389576279729113</v>
      </c>
      <c r="N19">
        <v>-3.1465007050259175E-2</v>
      </c>
      <c r="O19" s="1" t="str">
        <f>HYPERLINK(".\sm_car_210306_0055\sm_car_210306_0055_018_Ca016TrN_MaLSS_ode23t.png","figure")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341</v>
      </c>
      <c r="L20">
        <v>10.213798300000001</v>
      </c>
      <c r="M20">
        <v>226.82066608795344</v>
      </c>
      <c r="N20">
        <v>0.11931054267500295</v>
      </c>
      <c r="O20" s="1" t="str">
        <f>HYPERLINK(".\sm_car_210306_0055\sm_car_210306_0055_019_Ca032TrN_MaWOT_ode23t.png","figure")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384</v>
      </c>
      <c r="L21">
        <v>10.9755308</v>
      </c>
      <c r="M21">
        <v>70.067526175917493</v>
      </c>
      <c r="N21">
        <v>-0.33879437469010931</v>
      </c>
      <c r="O21" s="1" t="str">
        <f>HYPERLINK(".\sm_car_210306_0055\sm_car_210306_0055_020_Ca032TrN_MaLSS_ode23t.png","figure")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334</v>
      </c>
      <c r="L22">
        <v>10.2220496</v>
      </c>
      <c r="M22">
        <v>226.83150377201466</v>
      </c>
      <c r="N22">
        <v>0.11651353860945628</v>
      </c>
      <c r="O22" s="1" t="str">
        <f>HYPERLINK(".\sm_car_210306_0055\sm_car_210306_0055_021_Ca048TrN_MaWOT_ode23t.png","figure")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370</v>
      </c>
      <c r="L23">
        <v>10.1863756</v>
      </c>
      <c r="M23">
        <v>70.065137727424087</v>
      </c>
      <c r="N23">
        <v>-0.32515178460391586</v>
      </c>
      <c r="O23" s="1" t="str">
        <f>HYPERLINK(".\sm_car_210306_0055\sm_car_210306_0055_022_Ca048TrN_MaLSS_ode23t.png","figure")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338</v>
      </c>
      <c r="L24">
        <v>12.450585800000001</v>
      </c>
      <c r="M24">
        <v>226.86739776794442</v>
      </c>
      <c r="N24">
        <v>0.11751438909153548</v>
      </c>
      <c r="O24" s="1" t="str">
        <f>HYPERLINK(".\sm_car_210306_0055\sm_car_210306_0055_023_Ca064TrN_MaWOT_ode23t.png","figure")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386</v>
      </c>
      <c r="L25">
        <v>11.9129948</v>
      </c>
      <c r="M25">
        <v>70.067210543738369</v>
      </c>
      <c r="N25">
        <v>-0.33731929959874796</v>
      </c>
      <c r="O25" s="1" t="str">
        <f>HYPERLINK(".\sm_car_210306_0055\sm_car_210306_0055_024_Ca064TrN_MaLSS_ode23t.png","figure")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352</v>
      </c>
      <c r="L26">
        <v>12.5752978</v>
      </c>
      <c r="M26">
        <v>227.01997735508451</v>
      </c>
      <c r="N26">
        <v>0.11459282266709585</v>
      </c>
      <c r="O26" s="1" t="str">
        <f>HYPERLINK(".\sm_car_210306_0055\sm_car_210306_0055_025_Ca080TrN_MaWOT_ode23t.png","figure")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379</v>
      </c>
      <c r="L27">
        <v>11.1717111</v>
      </c>
      <c r="M27">
        <v>70.138084479444018</v>
      </c>
      <c r="N27">
        <v>-0.34687718284910546</v>
      </c>
      <c r="O27" s="1" t="str">
        <f>HYPERLINK(".\sm_car_210306_0055\sm_car_210306_0055_026_Ca080TrN_MaLSS_ode23t.png","figure")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336</v>
      </c>
      <c r="L28">
        <v>9.7176912000000009</v>
      </c>
      <c r="M28">
        <v>228.9521579960236</v>
      </c>
      <c r="N28">
        <v>0.12335148472692312</v>
      </c>
      <c r="O28" s="1" t="str">
        <f>HYPERLINK(".\sm_car_210306_0055\sm_car_210306_0055_027_Ca096TrN_MaWOT_ode23t.png","figure")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367</v>
      </c>
      <c r="L29">
        <v>8.9812262999999994</v>
      </c>
      <c r="M29">
        <v>70.697115348120107</v>
      </c>
      <c r="N29">
        <v>-0.35447954374613971</v>
      </c>
      <c r="O29" s="1" t="str">
        <f>HYPERLINK(".\sm_car_210306_0055\sm_car_210306_0055_028_Ca096TrN_MaLSS_ode23t.png","figure")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385</v>
      </c>
      <c r="L30">
        <v>5.6466687000000002</v>
      </c>
      <c r="M30">
        <v>235.90657587487922</v>
      </c>
      <c r="N30">
        <v>0.21706414551751704</v>
      </c>
      <c r="O30" s="1" t="str">
        <f>HYPERLINK(".\sm_car_210306_0055\sm_car_210306_0055_029_Ca112TrN_MaWOT_ode23t.png","figure")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410</v>
      </c>
      <c r="L31">
        <v>5.8812376000000004</v>
      </c>
      <c r="M31">
        <v>72.83151538982105</v>
      </c>
      <c r="N31">
        <v>-0.2844697798332031</v>
      </c>
      <c r="O31" s="1" t="str">
        <f>HYPERLINK(".\sm_car_210306_0055\sm_car_210306_0055_030_Ca112TrN_MaLSS_ode23t.png","figure")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375</v>
      </c>
      <c r="L32">
        <v>6.1003932000000001</v>
      </c>
      <c r="M32">
        <v>234.47138893835745</v>
      </c>
      <c r="N32">
        <v>0.21329757089045293</v>
      </c>
      <c r="O32" s="1" t="str">
        <f>HYPERLINK(".\sm_car_210306_0055\sm_car_210306_0055_031_Ca113TrN_MaWOT_ode23t.png","figure")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422</v>
      </c>
      <c r="L33">
        <v>5.9467261999999996</v>
      </c>
      <c r="M33">
        <v>72.508085140893002</v>
      </c>
      <c r="N33">
        <v>-0.2867017521860673</v>
      </c>
      <c r="O33" s="1" t="str">
        <f>HYPERLINK(".\sm_car_210306_0055\sm_car_210306_0055_032_Ca113TrN_MaLSS_ode23t.png","figure")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379</v>
      </c>
      <c r="L34">
        <v>7.1785899999999998</v>
      </c>
      <c r="M34">
        <v>234.81450620871263</v>
      </c>
      <c r="N34">
        <v>0.21389809355770592</v>
      </c>
      <c r="O34" s="1" t="str">
        <f>HYPERLINK(".\sm_car_210306_0055\sm_car_210306_0055_033_Ca114TrN_MaWOT_ode23t.png","figure")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431</v>
      </c>
      <c r="L35">
        <v>7.1121274000000003</v>
      </c>
      <c r="M35">
        <v>72.519436147615181</v>
      </c>
      <c r="N35">
        <v>-0.28898225357308427</v>
      </c>
      <c r="O35" s="1" t="str">
        <f>HYPERLINK(".\sm_car_210306_0055\sm_car_210306_0055_034_Ca114TrN_MaLSS_ode23t.png","figure")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397</v>
      </c>
      <c r="L36">
        <v>7.3873695000000001</v>
      </c>
      <c r="M36">
        <v>234.30129475732906</v>
      </c>
      <c r="N36">
        <v>0.21233034132125297</v>
      </c>
      <c r="O36" s="1" t="str">
        <f>HYPERLINK(".\sm_car_210306_0055\sm_car_210306_0055_035_Ca115TrN_MaWOT_ode23t.png","figure")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429</v>
      </c>
      <c r="L37">
        <v>7.0349659999999998</v>
      </c>
      <c r="M37">
        <v>72.365475242918407</v>
      </c>
      <c r="N37">
        <v>-0.28294053253192636</v>
      </c>
      <c r="O37" s="1" t="str">
        <f>HYPERLINK(".\sm_car_210306_0055\sm_car_210306_0055_036_Ca115TrN_MaLSS_ode23t.png","figure")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958</v>
      </c>
      <c r="L38">
        <v>9.3874443999999997</v>
      </c>
      <c r="M38">
        <v>235.89850019002387</v>
      </c>
      <c r="N38">
        <v>0.2175582928320732</v>
      </c>
      <c r="O38" s="1" t="str">
        <f>HYPERLINK(".\sm_car_210306_0055\sm_car_210306_0055_037_Ca116TrN_MaWOT_ode23t.png","figure")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991</v>
      </c>
      <c r="L39">
        <v>9.6718259999999994</v>
      </c>
      <c r="M39">
        <v>72.844415431271145</v>
      </c>
      <c r="N39">
        <v>-0.29127309383622874</v>
      </c>
      <c r="O39" s="1" t="str">
        <f>HYPERLINK(".\sm_car_210306_0055\sm_car_210306_0055_038_Ca116TrN_MaLSS_ode23t.png","figure")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972</v>
      </c>
      <c r="L40">
        <v>10.6381864</v>
      </c>
      <c r="M40">
        <v>234.50293688917287</v>
      </c>
      <c r="N40">
        <v>0.21399350058550573</v>
      </c>
      <c r="O40" s="1" t="str">
        <f>HYPERLINK(".\sm_car_210306_0055\sm_car_210306_0055_039_Ca117TrN_MaWOT_ode23t.png","figure")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1014</v>
      </c>
      <c r="L41">
        <v>11.2431129</v>
      </c>
      <c r="M41">
        <v>72.517687370433663</v>
      </c>
      <c r="N41">
        <v>-0.2852876361288868</v>
      </c>
      <c r="O41" s="1" t="str">
        <f>HYPERLINK(".\sm_car_210306_0055\sm_car_210306_0055_040_Ca117TrN_MaLSS_ode23t.png","figure")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964</v>
      </c>
      <c r="L42">
        <v>11.907681500000001</v>
      </c>
      <c r="M42">
        <v>234.3027158542113</v>
      </c>
      <c r="N42">
        <v>0.21367241542581517</v>
      </c>
      <c r="O42" s="1" t="str">
        <f>HYPERLINK(".\sm_car_210306_0055\sm_car_210306_0055_041_Ca118TrN_MaWOT_ode23t.png","figure")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999</v>
      </c>
      <c r="L43">
        <v>12.6296862</v>
      </c>
      <c r="M43">
        <v>72.511371974687833</v>
      </c>
      <c r="N43">
        <v>-0.28925832819137043</v>
      </c>
      <c r="O43" s="1" t="str">
        <f>HYPERLINK(".\sm_car_210306_0055\sm_car_210306_0055_042_Ca118TrN_MaLSS_ode23t.png","figure")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1012</v>
      </c>
      <c r="L44">
        <v>13.207688900000001</v>
      </c>
      <c r="M44">
        <v>234.21073408710717</v>
      </c>
      <c r="N44">
        <v>0.21283026198288885</v>
      </c>
      <c r="O44" s="1" t="str">
        <f>HYPERLINK(".\sm_car_210306_0055\sm_car_210306_0055_043_Ca119TrN_MaWOT_ode23t.png","figure")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1050</v>
      </c>
      <c r="L45">
        <v>12.5545081</v>
      </c>
      <c r="M45">
        <v>72.370223791687167</v>
      </c>
      <c r="N45">
        <v>-0.28969228625485743</v>
      </c>
      <c r="O45" s="1" t="str">
        <f>HYPERLINK(".\sm_car_210306_0055\sm_car_210306_0055_044_Ca119TrN_MaLSS_ode23t.png","figure")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306</v>
      </c>
      <c r="L46">
        <v>14.332751999999999</v>
      </c>
      <c r="M46">
        <v>97.866233453448189</v>
      </c>
      <c r="N46">
        <v>1.3773924092664806E-2</v>
      </c>
      <c r="O46" s="1" t="str">
        <f>HYPERLINK(".\sm_car_210306_0055\sm_car_210306_0055_045_Ca128TrN_MaWOT_ode23t.png","figure")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341</v>
      </c>
      <c r="L47">
        <v>13.275572199999999</v>
      </c>
      <c r="M47">
        <v>36.301900189579271</v>
      </c>
      <c r="N47">
        <v>-8.2708428876997503E-2</v>
      </c>
      <c r="O47" s="1" t="str">
        <f>HYPERLINK(".\sm_car_210306_0055\sm_car_210306_0055_046_Ca128TrN_MaLSS_ode23t.png","figure")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334</v>
      </c>
      <c r="L48">
        <v>17.789216400000001</v>
      </c>
      <c r="M48">
        <v>225.67261064436852</v>
      </c>
      <c r="N48">
        <v>0.12657648545576919</v>
      </c>
      <c r="O48" s="1" t="str">
        <f>HYPERLINK(".\sm_car_210306_0055\sm_car_210306_0055_047_Ca129TrN_MaWOT_ode23t.png","figure")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372</v>
      </c>
      <c r="L49">
        <v>18.573006599999999</v>
      </c>
      <c r="M49">
        <v>69.705970433382959</v>
      </c>
      <c r="N49">
        <v>-0.3318676505043619</v>
      </c>
      <c r="O49" s="1" t="str">
        <f>HYPERLINK(".\sm_car_210306_0055\sm_car_210306_0055_048_Ca129TrN_MaLSS_ode23t.png","figure")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776</v>
      </c>
      <c r="L50">
        <v>34.149374299999998</v>
      </c>
      <c r="M50">
        <v>204.71849714222009</v>
      </c>
      <c r="N50">
        <v>-1.9455604928134804</v>
      </c>
      <c r="O50" s="1" t="str">
        <f>HYPERLINK(".\sm_car_210306_0055\sm_car_210306_0055_049_Ca130TrN_MaWOT_ode23t.png","figure")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672</v>
      </c>
      <c r="L51">
        <v>28.457611100000001</v>
      </c>
      <c r="M51">
        <v>65.980940883446223</v>
      </c>
      <c r="N51">
        <v>-0.38580099542658136</v>
      </c>
      <c r="O51" s="1" t="str">
        <f>HYPERLINK(".\sm_car_210306_0055\sm_car_210306_0055_050_Ca130TrN_MaLSS_ode23t.png","figure")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319</v>
      </c>
      <c r="L52">
        <v>11.6118095</v>
      </c>
      <c r="M52">
        <v>224.57415476180395</v>
      </c>
      <c r="N52">
        <v>0.25076623897424022</v>
      </c>
      <c r="O52" s="1" t="str">
        <f>HYPERLINK(".\sm_car_210306_0055\sm_car_210306_0055_051_Ca131TrN_MaWOT_ode23t.png","figure")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374</v>
      </c>
      <c r="L53">
        <v>10.903055999999999</v>
      </c>
      <c r="M53">
        <v>69.031591670853146</v>
      </c>
      <c r="N53">
        <v>-0.30902182231351905</v>
      </c>
      <c r="O53" s="1" t="str">
        <f>HYPERLINK(".\sm_car_210306_0055\sm_car_210306_0055_052_Ca131TrN_MaLSS_ode23t.png","figure")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333</v>
      </c>
      <c r="L54">
        <v>11.5808787</v>
      </c>
      <c r="M54">
        <v>225.89244375867625</v>
      </c>
      <c r="N54">
        <v>0.10737876221551547</v>
      </c>
      <c r="O54" s="1" t="str">
        <f>HYPERLINK(".\sm_car_210306_0055\sm_car_210306_0055_053_Ca132TrN_MaWOT_ode23t.png","figure")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379</v>
      </c>
      <c r="L55">
        <v>11.698111900000001</v>
      </c>
      <c r="M55">
        <v>69.789672861605183</v>
      </c>
      <c r="N55">
        <v>-0.33057935080152429</v>
      </c>
      <c r="O55" s="1" t="str">
        <f>HYPERLINK(".\sm_car_210306_0055\sm_car_210306_0055_054_Ca132TrN_MaLSS_ode23t.png","figure")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315</v>
      </c>
      <c r="L56">
        <v>10.5228231</v>
      </c>
      <c r="M56">
        <v>224.30581004918335</v>
      </c>
      <c r="N56">
        <v>0.25020319251236023</v>
      </c>
      <c r="O56" s="1" t="str">
        <f>HYPERLINK(".\sm_car_210306_0055\sm_car_210306_0055_055_Ca133TrN_MaWOT_ode23t.png","figure")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378</v>
      </c>
      <c r="L57">
        <v>11.1693734</v>
      </c>
      <c r="M57">
        <v>69.028191250123541</v>
      </c>
      <c r="N57">
        <v>-0.30897382486821612</v>
      </c>
      <c r="O57" s="1" t="str">
        <f>HYPERLINK(".\sm_car_210306_0055\sm_car_210306_0055_056_Ca133TrN_MaLSS_ode23t.png","figure")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333</v>
      </c>
      <c r="L58">
        <v>10.554298599999999</v>
      </c>
      <c r="M58">
        <v>225.77279877758028</v>
      </c>
      <c r="N58">
        <v>0.10676185052968959</v>
      </c>
      <c r="O58" s="1" t="str">
        <f>HYPERLINK(".\sm_car_210306_0055\sm_car_210306_0055_057_Ca134TrN_MaWOT_ode23t.png","figure")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401</v>
      </c>
      <c r="L59">
        <v>11.450856399999999</v>
      </c>
      <c r="M59">
        <v>69.768843590422435</v>
      </c>
      <c r="N59">
        <v>-0.32932759776167281</v>
      </c>
      <c r="O59" s="1" t="str">
        <f>HYPERLINK(".\sm_car_210306_0055\sm_car_210306_0055_058_Ca134TrN_MaLSS_ode23t.png","figure")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299</v>
      </c>
      <c r="L60">
        <v>10.8436127</v>
      </c>
      <c r="M60">
        <v>225.61566428207527</v>
      </c>
      <c r="N60">
        <v>0.10701447197824436</v>
      </c>
      <c r="O60" s="1" t="str">
        <f>HYPERLINK(".\sm_car_210306_0055\sm_car_210306_0055_059_Ca135TrN_MaWOT_ode23t.png","figure")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368</v>
      </c>
      <c r="L61">
        <v>11.2573294</v>
      </c>
      <c r="M61">
        <v>69.768563901814559</v>
      </c>
      <c r="N61">
        <v>-0.33009888062298148</v>
      </c>
      <c r="O61" s="1" t="str">
        <f>HYPERLINK(".\sm_car_210306_0055\sm_car_210306_0055_060_Ca135TrN_MaLSS_ode23t.png","figure")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343</v>
      </c>
      <c r="L62">
        <v>13.274457200000001</v>
      </c>
      <c r="M62">
        <v>225.88287919004415</v>
      </c>
      <c r="N62">
        <v>0.12696095063913998</v>
      </c>
      <c r="O62" s="1" t="str">
        <f>HYPERLINK(".\sm_car_210306_0055\sm_car_210306_0055_061_Ca136TrN_MaWOT_ode23t.png","figure")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380</v>
      </c>
      <c r="L63">
        <v>13.025336299999999</v>
      </c>
      <c r="M63">
        <v>69.788116663081851</v>
      </c>
      <c r="N63">
        <v>-0.33013856986675727</v>
      </c>
      <c r="O63" s="1" t="str">
        <f>HYPERLINK(".\sm_car_210306_0055\sm_car_210306_0055_062_Ca136TrN_MaLSS_ode23t.png","figure")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338</v>
      </c>
      <c r="L64">
        <v>9.5731482999999997</v>
      </c>
      <c r="M64">
        <v>224.77177227264153</v>
      </c>
      <c r="N64">
        <v>0.15750692597786398</v>
      </c>
      <c r="O64" s="1" t="str">
        <f>HYPERLINK(".\sm_car_210306_0055\sm_car_210306_0055_063_Ca137TrN_MaWOT_ode23t.png","figure")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383</v>
      </c>
      <c r="L65">
        <v>9.2244741999999995</v>
      </c>
      <c r="M65">
        <v>68.706785195160194</v>
      </c>
      <c r="N65">
        <v>-0.36129180406118494</v>
      </c>
      <c r="O65" s="1" t="str">
        <f>HYPERLINK(".\sm_car_210306_0055\sm_car_210306_0055_064_Ca137TrN_MaLSS_ode23t.png","figure")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341</v>
      </c>
      <c r="L66">
        <v>12.5284034</v>
      </c>
      <c r="M66">
        <v>224.75681228960605</v>
      </c>
      <c r="N66">
        <v>0.16843546971903153</v>
      </c>
      <c r="O66" s="1" t="str">
        <f>HYPERLINK(".\sm_car_210306_0055\sm_car_210306_0055_065_Ca138TrN_MaWOT_ode23t.png","figure")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393</v>
      </c>
      <c r="L67">
        <v>12.7860985</v>
      </c>
      <c r="M67">
        <v>68.621934952287191</v>
      </c>
      <c r="N67">
        <v>-0.5976931919003553</v>
      </c>
      <c r="O67" s="1" t="str">
        <f>HYPERLINK(".\sm_car_210306_0055\sm_car_210306_0055_066_Ca138TrN_MaLSS_ode23t.png","figure")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493</v>
      </c>
      <c r="L68">
        <v>12.816522600000001</v>
      </c>
      <c r="M68">
        <v>329.23229566721824</v>
      </c>
      <c r="N68">
        <v>9.5511711513707714E-2</v>
      </c>
      <c r="O68" s="1" t="str">
        <f>HYPERLINK(".\sm_car_210306_0055\sm_car_210306_0055_067_Ca139TrN_MaWOT_ode23t.png","figure")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547</v>
      </c>
      <c r="L69">
        <v>12.515993699999999</v>
      </c>
      <c r="M69">
        <v>125.93144753061236</v>
      </c>
      <c r="N69">
        <v>-0.6228452751320801</v>
      </c>
      <c r="O69" s="1" t="str">
        <f>HYPERLINK(".\sm_car_210306_0055\sm_car_210306_0055_068_Ca139TrN_MaLSS_ode23t.png","figure")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776</v>
      </c>
      <c r="L70">
        <v>14.206562099999999</v>
      </c>
      <c r="M70">
        <v>329.49567451592168</v>
      </c>
      <c r="N70">
        <v>9.6296669360345644E-2</v>
      </c>
      <c r="O70" s="1" t="str">
        <f>HYPERLINK(".\sm_car_210306_0055\sm_car_210306_0055_069_Ca141TrN_MaWOT_ode23t.png","figure")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808</v>
      </c>
      <c r="L71">
        <v>14.631394200000001</v>
      </c>
      <c r="M71">
        <v>126.09435540816301</v>
      </c>
      <c r="N71">
        <v>-0.6180839635620029</v>
      </c>
      <c r="O71" s="1" t="str">
        <f>HYPERLINK(".\sm_car_210306_0055\sm_car_210306_0055_070_Ca141TrN_MaLSS_ode23t.png","figure")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546</v>
      </c>
      <c r="L72">
        <v>27.810862400000001</v>
      </c>
      <c r="M72">
        <v>163.00584909312389</v>
      </c>
      <c r="N72">
        <v>-5.860698006886417</v>
      </c>
      <c r="O72" s="1" t="str">
        <f>HYPERLINK(".\sm_car_210306_0055\sm_car_210306_0055_071_Ca143TrN_MaWOT_ode23t.png","figure")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587</v>
      </c>
      <c r="L73">
        <v>26.896442100000002</v>
      </c>
      <c r="M73">
        <v>45.313841581032534</v>
      </c>
      <c r="N73">
        <v>-0.46976627381737585</v>
      </c>
      <c r="O73" s="1" t="str">
        <f>HYPERLINK(".\sm_car_210306_0055\sm_car_210306_0055_072_Ca143TrN_MaLSS_ode23t.png","figure")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602</v>
      </c>
      <c r="L74">
        <v>21.888700799999999</v>
      </c>
      <c r="M74">
        <v>172.47204145366638</v>
      </c>
      <c r="N74">
        <v>-15.909335943140938</v>
      </c>
      <c r="O74" s="1" t="str">
        <f>HYPERLINK(".\sm_car_210306_0055\sm_car_210306_0055_073_Ca144TrN_MaWOT_ode23t.png","figure")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514</v>
      </c>
      <c r="L75">
        <v>15.7471143</v>
      </c>
      <c r="M75">
        <v>46.759565004082233</v>
      </c>
      <c r="N75">
        <v>-0.60893210073005144</v>
      </c>
      <c r="O75" s="1" t="str">
        <f>HYPERLINK(".\sm_car_210306_0055\sm_car_210306_0055_074_Ca144TrN_MaLSS_ode23t.png","figure")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3761</v>
      </c>
      <c r="L76">
        <v>73.524960399999998</v>
      </c>
      <c r="M76">
        <v>340.12270043182838</v>
      </c>
      <c r="N76">
        <v>-132.91086496882195</v>
      </c>
      <c r="O76" s="1" t="str">
        <f>HYPERLINK(".\sm_car_210306_0055\sm_car_210306_0055_075_Ca147TrN_MaWOT_ode23t.png","figure")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1642</v>
      </c>
      <c r="L77">
        <v>40.997275199999997</v>
      </c>
      <c r="M77">
        <v>150.89495653406354</v>
      </c>
      <c r="N77">
        <v>-35.600191217689705</v>
      </c>
      <c r="O77" s="1" t="str">
        <f>HYPERLINK(".\sm_car_210306_0055\sm_car_210306_0055_076_Ca147TrN_MaLSS_ode23t.png","figure")</f>
        <v>figure</v>
      </c>
      <c r="P77" t="s">
        <v>15</v>
      </c>
    </row>
    <row r="78" spans="1:16" x14ac:dyDescent="0.25">
      <c r="A78">
        <v>77</v>
      </c>
      <c r="B78">
        <v>8</v>
      </c>
      <c r="C78" t="s">
        <v>16</v>
      </c>
      <c r="D78" t="s">
        <v>17</v>
      </c>
      <c r="E78" t="s">
        <v>49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348</v>
      </c>
      <c r="L78">
        <v>28.3023886</v>
      </c>
      <c r="M78">
        <v>239.14660788810679</v>
      </c>
      <c r="N78">
        <v>0.12323677896580039</v>
      </c>
      <c r="O78" s="1" t="str">
        <f>HYPERLINK(".\sm_car_210306_0055\sm_car_210306_0055_077_Ca008TrN_MaWOT_ode23t.png","figure")</f>
        <v>figure</v>
      </c>
      <c r="P78" t="s">
        <v>15</v>
      </c>
    </row>
    <row r="79" spans="1:16" x14ac:dyDescent="0.25">
      <c r="A79">
        <v>78</v>
      </c>
      <c r="B79">
        <v>8</v>
      </c>
      <c r="C79" t="s">
        <v>16</v>
      </c>
      <c r="D79" t="s">
        <v>17</v>
      </c>
      <c r="E79" t="s">
        <v>49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419</v>
      </c>
      <c r="L79">
        <v>30.080276900000001</v>
      </c>
      <c r="M79">
        <v>73.708691454175892</v>
      </c>
      <c r="N79">
        <v>-0.39724340689523185</v>
      </c>
      <c r="O79" s="1" t="str">
        <f>HYPERLINK(".\sm_car_210306_0055\sm_car_210306_0055_078_Ca008TrN_MaLSS_ode23t.png","figure")</f>
        <v>figure</v>
      </c>
      <c r="P79" t="s">
        <v>15</v>
      </c>
    </row>
    <row r="80" spans="1:16" x14ac:dyDescent="0.25">
      <c r="A80">
        <v>79</v>
      </c>
      <c r="B80">
        <v>9</v>
      </c>
      <c r="C80" t="s">
        <v>16</v>
      </c>
      <c r="D80" t="s">
        <v>17</v>
      </c>
      <c r="E80" t="s">
        <v>49</v>
      </c>
      <c r="F80" t="s">
        <v>19</v>
      </c>
      <c r="G80" t="s">
        <v>25</v>
      </c>
      <c r="H80" t="s">
        <v>21</v>
      </c>
      <c r="I80" t="s">
        <v>22</v>
      </c>
      <c r="J80" t="s">
        <v>23</v>
      </c>
      <c r="K80">
        <v>353</v>
      </c>
      <c r="L80">
        <v>32.433124999999997</v>
      </c>
      <c r="M80">
        <v>238.10713244891411</v>
      </c>
      <c r="N80">
        <v>0.11913321172251554</v>
      </c>
      <c r="O80" s="1" t="str">
        <f>HYPERLINK(".\sm_car_210306_0055\sm_car_210306_0055_079_Ca009TrN_MaWOT_ode23t.png","figure")</f>
        <v>figure</v>
      </c>
      <c r="P80" t="s">
        <v>15</v>
      </c>
    </row>
    <row r="81" spans="1:16" x14ac:dyDescent="0.25">
      <c r="A81">
        <v>80</v>
      </c>
      <c r="B81">
        <v>9</v>
      </c>
      <c r="C81" t="s">
        <v>16</v>
      </c>
      <c r="D81" t="s">
        <v>17</v>
      </c>
      <c r="E81" t="s">
        <v>49</v>
      </c>
      <c r="F81" t="s">
        <v>19</v>
      </c>
      <c r="G81" t="s">
        <v>25</v>
      </c>
      <c r="H81" t="s">
        <v>21</v>
      </c>
      <c r="I81" t="s">
        <v>24</v>
      </c>
      <c r="J81" t="s">
        <v>23</v>
      </c>
      <c r="K81">
        <v>435</v>
      </c>
      <c r="L81">
        <v>34.623900999999996</v>
      </c>
      <c r="M81">
        <v>73.394924854950176</v>
      </c>
      <c r="N81">
        <v>-0.38550467223795976</v>
      </c>
      <c r="O81" s="1" t="str">
        <f>HYPERLINK(".\sm_car_210306_0055\sm_car_210306_0055_080_Ca009TrN_MaLSS_ode23t.png","figure")</f>
        <v>figure</v>
      </c>
      <c r="P81" t="s">
        <v>15</v>
      </c>
    </row>
    <row r="82" spans="1:16" x14ac:dyDescent="0.25">
      <c r="A82">
        <v>81</v>
      </c>
      <c r="B82">
        <v>10</v>
      </c>
      <c r="C82" t="s">
        <v>16</v>
      </c>
      <c r="D82" t="s">
        <v>17</v>
      </c>
      <c r="E82" t="s">
        <v>49</v>
      </c>
      <c r="F82" t="s">
        <v>19</v>
      </c>
      <c r="G82" t="s">
        <v>26</v>
      </c>
      <c r="H82" t="s">
        <v>21</v>
      </c>
      <c r="I82" t="s">
        <v>22</v>
      </c>
      <c r="J82" t="s">
        <v>23</v>
      </c>
      <c r="K82">
        <v>339</v>
      </c>
      <c r="L82">
        <v>37.499982899999999</v>
      </c>
      <c r="M82">
        <v>238.21676021915712</v>
      </c>
      <c r="N82">
        <v>0.14192272633465158</v>
      </c>
      <c r="O82" s="1" t="str">
        <f>HYPERLINK(".\sm_car_210306_0055\sm_car_210306_0055_081_Ca010TrN_MaWOT_ode23t.png","figure")</f>
        <v>figure</v>
      </c>
      <c r="P82" t="s">
        <v>15</v>
      </c>
    </row>
    <row r="83" spans="1:16" x14ac:dyDescent="0.25">
      <c r="A83">
        <v>82</v>
      </c>
      <c r="B83">
        <v>10</v>
      </c>
      <c r="C83" t="s">
        <v>16</v>
      </c>
      <c r="D83" t="s">
        <v>17</v>
      </c>
      <c r="E83" t="s">
        <v>49</v>
      </c>
      <c r="F83" t="s">
        <v>19</v>
      </c>
      <c r="G83" t="s">
        <v>26</v>
      </c>
      <c r="H83" t="s">
        <v>21</v>
      </c>
      <c r="I83" t="s">
        <v>24</v>
      </c>
      <c r="J83" t="s">
        <v>23</v>
      </c>
      <c r="K83">
        <v>428</v>
      </c>
      <c r="L83">
        <v>41.232052000000003</v>
      </c>
      <c r="M83">
        <v>73.400887464493621</v>
      </c>
      <c r="N83">
        <v>-0.38832343412918008</v>
      </c>
      <c r="O83" s="1" t="str">
        <f>HYPERLINK(".\sm_car_210306_0055\sm_car_210306_0055_082_Ca010TrN_MaLSS_ode23t.png","figure")</f>
        <v>figure</v>
      </c>
      <c r="P83" t="s">
        <v>15</v>
      </c>
    </row>
    <row r="84" spans="1:16" x14ac:dyDescent="0.25">
      <c r="A84">
        <v>83</v>
      </c>
      <c r="B84">
        <v>11</v>
      </c>
      <c r="C84" t="s">
        <v>16</v>
      </c>
      <c r="D84" t="s">
        <v>17</v>
      </c>
      <c r="E84" t="s">
        <v>49</v>
      </c>
      <c r="F84" t="s">
        <v>19</v>
      </c>
      <c r="G84" t="s">
        <v>27</v>
      </c>
      <c r="H84" t="s">
        <v>21</v>
      </c>
      <c r="I84" t="s">
        <v>22</v>
      </c>
      <c r="J84" t="s">
        <v>23</v>
      </c>
      <c r="K84">
        <v>395</v>
      </c>
      <c r="L84">
        <v>38.929321100000003</v>
      </c>
      <c r="M84">
        <v>237.79428842255268</v>
      </c>
      <c r="N84">
        <v>0.14005354514955401</v>
      </c>
      <c r="O84" s="1" t="str">
        <f>HYPERLINK(".\sm_car_210306_0055\sm_car_210306_0055_083_Ca011TrN_MaWOT_ode23t.png","figure")</f>
        <v>figure</v>
      </c>
      <c r="P84" t="s">
        <v>15</v>
      </c>
    </row>
    <row r="85" spans="1:16" x14ac:dyDescent="0.25">
      <c r="A85">
        <v>84</v>
      </c>
      <c r="B85">
        <v>11</v>
      </c>
      <c r="C85" t="s">
        <v>16</v>
      </c>
      <c r="D85" t="s">
        <v>17</v>
      </c>
      <c r="E85" t="s">
        <v>49</v>
      </c>
      <c r="F85" t="s">
        <v>19</v>
      </c>
      <c r="G85" t="s">
        <v>27</v>
      </c>
      <c r="H85" t="s">
        <v>21</v>
      </c>
      <c r="I85" t="s">
        <v>24</v>
      </c>
      <c r="J85" t="s">
        <v>23</v>
      </c>
      <c r="K85">
        <v>467</v>
      </c>
      <c r="L85">
        <v>42.500103500000002</v>
      </c>
      <c r="M85">
        <v>73.272496248187579</v>
      </c>
      <c r="N85">
        <v>-0.37807770084408643</v>
      </c>
      <c r="O85" s="1" t="str">
        <f>HYPERLINK(".\sm_car_210306_0055\sm_car_210306_0055_084_Ca011TrN_MaLSS_ode23t.png","figure")</f>
        <v>figure</v>
      </c>
      <c r="P85" t="s">
        <v>15</v>
      </c>
    </row>
    <row r="86" spans="1:16" x14ac:dyDescent="0.25">
      <c r="A86">
        <v>85</v>
      </c>
      <c r="B86">
        <v>12</v>
      </c>
      <c r="C86" t="s">
        <v>16</v>
      </c>
      <c r="D86" t="s">
        <v>17</v>
      </c>
      <c r="E86" t="s">
        <v>49</v>
      </c>
      <c r="F86" t="s">
        <v>28</v>
      </c>
      <c r="G86" t="s">
        <v>20</v>
      </c>
      <c r="H86" t="s">
        <v>21</v>
      </c>
      <c r="I86" t="s">
        <v>22</v>
      </c>
      <c r="J86" t="s">
        <v>23</v>
      </c>
      <c r="K86">
        <v>914</v>
      </c>
      <c r="L86">
        <v>29.842957999999999</v>
      </c>
      <c r="M86">
        <v>239.30399395531646</v>
      </c>
      <c r="N86">
        <v>0.12337971960680329</v>
      </c>
      <c r="O86" s="1" t="str">
        <f>HYPERLINK(".\sm_car_210306_0055\sm_car_210306_0055_085_Ca012TrN_MaWOT_ode23t.png","figure")</f>
        <v>figure</v>
      </c>
      <c r="P86" t="s">
        <v>15</v>
      </c>
    </row>
    <row r="87" spans="1:16" x14ac:dyDescent="0.25">
      <c r="A87">
        <v>86</v>
      </c>
      <c r="B87">
        <v>12</v>
      </c>
      <c r="C87" t="s">
        <v>16</v>
      </c>
      <c r="D87" t="s">
        <v>17</v>
      </c>
      <c r="E87" t="s">
        <v>49</v>
      </c>
      <c r="F87" t="s">
        <v>28</v>
      </c>
      <c r="G87" t="s">
        <v>20</v>
      </c>
      <c r="H87" t="s">
        <v>21</v>
      </c>
      <c r="I87" t="s">
        <v>24</v>
      </c>
      <c r="J87" t="s">
        <v>23</v>
      </c>
      <c r="K87">
        <v>963</v>
      </c>
      <c r="L87">
        <v>31.3492289</v>
      </c>
      <c r="M87">
        <v>73.748236255312861</v>
      </c>
      <c r="N87">
        <v>-0.40083956753989519</v>
      </c>
      <c r="O87" s="1" t="str">
        <f>HYPERLINK(".\sm_car_210306_0055\sm_car_210306_0055_086_Ca012TrN_MaLSS_ode23t.png","figure")</f>
        <v>figure</v>
      </c>
      <c r="P87" t="s">
        <v>15</v>
      </c>
    </row>
    <row r="88" spans="1:16" x14ac:dyDescent="0.25">
      <c r="A88">
        <v>87</v>
      </c>
      <c r="B88">
        <v>13</v>
      </c>
      <c r="C88" t="s">
        <v>16</v>
      </c>
      <c r="D88" t="s">
        <v>17</v>
      </c>
      <c r="E88" t="s">
        <v>49</v>
      </c>
      <c r="F88" t="s">
        <v>28</v>
      </c>
      <c r="G88" t="s">
        <v>25</v>
      </c>
      <c r="H88" t="s">
        <v>21</v>
      </c>
      <c r="I88" t="s">
        <v>22</v>
      </c>
      <c r="J88" t="s">
        <v>23</v>
      </c>
      <c r="K88">
        <v>890</v>
      </c>
      <c r="L88">
        <v>30.477280100000002</v>
      </c>
      <c r="M88">
        <v>238.289794437762</v>
      </c>
      <c r="N88">
        <v>0.11926163869962142</v>
      </c>
      <c r="O88" s="1" t="str">
        <f>HYPERLINK(".\sm_car_210306_0055\sm_car_210306_0055_087_Ca013TrN_MaWOT_ode23t.png","figure")</f>
        <v>figure</v>
      </c>
      <c r="P88" t="s">
        <v>15</v>
      </c>
    </row>
    <row r="89" spans="1:16" x14ac:dyDescent="0.25">
      <c r="A89">
        <v>88</v>
      </c>
      <c r="B89">
        <v>13</v>
      </c>
      <c r="C89" t="s">
        <v>16</v>
      </c>
      <c r="D89" t="s">
        <v>17</v>
      </c>
      <c r="E89" t="s">
        <v>49</v>
      </c>
      <c r="F89" t="s">
        <v>28</v>
      </c>
      <c r="G89" t="s">
        <v>25</v>
      </c>
      <c r="H89" t="s">
        <v>21</v>
      </c>
      <c r="I89" t="s">
        <v>24</v>
      </c>
      <c r="J89" t="s">
        <v>23</v>
      </c>
      <c r="K89">
        <v>942</v>
      </c>
      <c r="L89">
        <v>32.623153299999998</v>
      </c>
      <c r="M89">
        <v>73.454135167215341</v>
      </c>
      <c r="N89">
        <v>-0.39993196927146718</v>
      </c>
      <c r="O89" s="1" t="str">
        <f>HYPERLINK(".\sm_car_210306_0055\sm_car_210306_0055_088_Ca013TrN_MaLSS_ode23t.png","figure")</f>
        <v>figure</v>
      </c>
      <c r="P89" t="s">
        <v>15</v>
      </c>
    </row>
    <row r="90" spans="1:16" x14ac:dyDescent="0.25">
      <c r="A90">
        <v>89</v>
      </c>
      <c r="B90">
        <v>14</v>
      </c>
      <c r="C90" t="s">
        <v>16</v>
      </c>
      <c r="D90" t="s">
        <v>17</v>
      </c>
      <c r="E90" t="s">
        <v>49</v>
      </c>
      <c r="F90" t="s">
        <v>28</v>
      </c>
      <c r="G90" t="s">
        <v>26</v>
      </c>
      <c r="H90" t="s">
        <v>21</v>
      </c>
      <c r="I90" t="s">
        <v>22</v>
      </c>
      <c r="J90" t="s">
        <v>23</v>
      </c>
      <c r="K90">
        <v>921</v>
      </c>
      <c r="L90">
        <v>39.307471900000003</v>
      </c>
      <c r="M90">
        <v>238.22841341651264</v>
      </c>
      <c r="N90">
        <v>0.14191666155942551</v>
      </c>
      <c r="O90" s="1" t="str">
        <f>HYPERLINK(".\sm_car_210306_0055\sm_car_210306_0055_089_Ca014TrN_MaWOT_ode23t.png","figure")</f>
        <v>figure</v>
      </c>
      <c r="P90" t="s">
        <v>15</v>
      </c>
    </row>
    <row r="91" spans="1:16" x14ac:dyDescent="0.25">
      <c r="A91">
        <v>90</v>
      </c>
      <c r="B91">
        <v>14</v>
      </c>
      <c r="C91" t="s">
        <v>16</v>
      </c>
      <c r="D91" t="s">
        <v>17</v>
      </c>
      <c r="E91" t="s">
        <v>49</v>
      </c>
      <c r="F91" t="s">
        <v>28</v>
      </c>
      <c r="G91" t="s">
        <v>26</v>
      </c>
      <c r="H91" t="s">
        <v>21</v>
      </c>
      <c r="I91" t="s">
        <v>24</v>
      </c>
      <c r="J91" t="s">
        <v>23</v>
      </c>
      <c r="K91">
        <v>971</v>
      </c>
      <c r="L91">
        <v>41.5135231</v>
      </c>
      <c r="M91">
        <v>73.443766039033207</v>
      </c>
      <c r="N91">
        <v>-0.38424920556136211</v>
      </c>
      <c r="O91" s="1" t="str">
        <f>HYPERLINK(".\sm_car_210306_0055\sm_car_210306_0055_090_Ca014TrN_MaLSS_ode23t.png","figure")</f>
        <v>figure</v>
      </c>
      <c r="P91" t="s">
        <v>15</v>
      </c>
    </row>
    <row r="92" spans="1:16" x14ac:dyDescent="0.25">
      <c r="A92">
        <v>91</v>
      </c>
      <c r="B92">
        <v>15</v>
      </c>
      <c r="C92" t="s">
        <v>16</v>
      </c>
      <c r="D92" t="s">
        <v>17</v>
      </c>
      <c r="E92" t="s">
        <v>49</v>
      </c>
      <c r="F92" t="s">
        <v>28</v>
      </c>
      <c r="G92" t="s">
        <v>27</v>
      </c>
      <c r="H92" t="s">
        <v>21</v>
      </c>
      <c r="I92" t="s">
        <v>22</v>
      </c>
      <c r="J92" t="s">
        <v>23</v>
      </c>
      <c r="K92">
        <v>952</v>
      </c>
      <c r="L92">
        <v>40.133771400000001</v>
      </c>
      <c r="M92">
        <v>237.44713144171075</v>
      </c>
      <c r="N92">
        <v>0.13992459679970773</v>
      </c>
      <c r="O92" s="1" t="str">
        <f>HYPERLINK(".\sm_car_210306_0055\sm_car_210306_0055_091_Ca015TrN_MaWOT_ode23t.png","figure")</f>
        <v>figure</v>
      </c>
      <c r="P92" t="s">
        <v>15</v>
      </c>
    </row>
    <row r="93" spans="1:16" x14ac:dyDescent="0.25">
      <c r="A93">
        <v>92</v>
      </c>
      <c r="B93">
        <v>15</v>
      </c>
      <c r="C93" t="s">
        <v>16</v>
      </c>
      <c r="D93" t="s">
        <v>17</v>
      </c>
      <c r="E93" t="s">
        <v>49</v>
      </c>
      <c r="F93" t="s">
        <v>28</v>
      </c>
      <c r="G93" t="s">
        <v>27</v>
      </c>
      <c r="H93" t="s">
        <v>21</v>
      </c>
      <c r="I93" t="s">
        <v>24</v>
      </c>
      <c r="J93" t="s">
        <v>23</v>
      </c>
      <c r="K93">
        <v>995</v>
      </c>
      <c r="L93">
        <v>43.289599299999999</v>
      </c>
      <c r="M93">
        <v>73.314712974999139</v>
      </c>
      <c r="N93">
        <v>-0.38943587422042725</v>
      </c>
      <c r="O93" s="1" t="str">
        <f>HYPERLINK(".\sm_car_210306_0055\sm_car_210306_0055_092_Ca015TrN_MaLSS_ode23t.png","figure")</f>
        <v>figure</v>
      </c>
      <c r="P93" t="s">
        <v>15</v>
      </c>
    </row>
    <row r="94" spans="1:16" x14ac:dyDescent="0.25">
      <c r="A94">
        <v>93</v>
      </c>
      <c r="B94">
        <v>120</v>
      </c>
      <c r="C94" t="s">
        <v>16</v>
      </c>
      <c r="D94" t="s">
        <v>35</v>
      </c>
      <c r="E94" t="s">
        <v>49</v>
      </c>
      <c r="F94" t="s">
        <v>19</v>
      </c>
      <c r="G94" t="s">
        <v>20</v>
      </c>
      <c r="H94" t="s">
        <v>21</v>
      </c>
      <c r="I94" t="s">
        <v>22</v>
      </c>
      <c r="J94" t="s">
        <v>23</v>
      </c>
      <c r="K94">
        <v>413</v>
      </c>
      <c r="L94">
        <v>14.1491024</v>
      </c>
      <c r="M94">
        <v>248.20898424236202</v>
      </c>
      <c r="N94">
        <v>0.24195790978637793</v>
      </c>
      <c r="O94" s="1" t="str">
        <f>HYPERLINK(".\sm_car_210306_0055\sm_car_210306_0055_093_Ca120TrN_MaWOT_ode23t.png","figure")</f>
        <v>figure</v>
      </c>
      <c r="P94" t="s">
        <v>15</v>
      </c>
    </row>
    <row r="95" spans="1:16" x14ac:dyDescent="0.25">
      <c r="A95">
        <v>94</v>
      </c>
      <c r="B95">
        <v>120</v>
      </c>
      <c r="C95" t="s">
        <v>16</v>
      </c>
      <c r="D95" t="s">
        <v>35</v>
      </c>
      <c r="E95" t="s">
        <v>49</v>
      </c>
      <c r="F95" t="s">
        <v>19</v>
      </c>
      <c r="G95" t="s">
        <v>20</v>
      </c>
      <c r="H95" t="s">
        <v>21</v>
      </c>
      <c r="I95" t="s">
        <v>24</v>
      </c>
      <c r="J95" t="s">
        <v>23</v>
      </c>
      <c r="K95">
        <v>466</v>
      </c>
      <c r="L95">
        <v>14.3484336</v>
      </c>
      <c r="M95">
        <v>76.490469436015928</v>
      </c>
      <c r="N95">
        <v>-0.33689452212082421</v>
      </c>
      <c r="O95" s="1" t="str">
        <f>HYPERLINK(".\sm_car_210306_0055\sm_car_210306_0055_094_Ca120TrN_MaLSS_ode23t.png","figure")</f>
        <v>figure</v>
      </c>
      <c r="P95" t="s">
        <v>15</v>
      </c>
    </row>
    <row r="96" spans="1:16" x14ac:dyDescent="0.25">
      <c r="A96">
        <v>95</v>
      </c>
      <c r="B96">
        <v>121</v>
      </c>
      <c r="C96" t="s">
        <v>16</v>
      </c>
      <c r="D96" t="s">
        <v>35</v>
      </c>
      <c r="E96" t="s">
        <v>49</v>
      </c>
      <c r="F96" t="s">
        <v>19</v>
      </c>
      <c r="G96" t="s">
        <v>25</v>
      </c>
      <c r="H96" t="s">
        <v>21</v>
      </c>
      <c r="I96" t="s">
        <v>22</v>
      </c>
      <c r="J96" t="s">
        <v>23</v>
      </c>
      <c r="K96">
        <v>414</v>
      </c>
      <c r="L96">
        <v>15.6724424</v>
      </c>
      <c r="M96">
        <v>247.1160655733849</v>
      </c>
      <c r="N96">
        <v>0.23843847723209166</v>
      </c>
      <c r="O96" s="1" t="str">
        <f>HYPERLINK(".\sm_car_210306_0055\sm_car_210306_0055_095_Ca121TrN_MaWOT_ode23t.png","figure")</f>
        <v>figure</v>
      </c>
      <c r="P96" t="s">
        <v>15</v>
      </c>
    </row>
    <row r="97" spans="1:16" x14ac:dyDescent="0.25">
      <c r="A97">
        <v>96</v>
      </c>
      <c r="B97">
        <v>121</v>
      </c>
      <c r="C97" t="s">
        <v>16</v>
      </c>
      <c r="D97" t="s">
        <v>35</v>
      </c>
      <c r="E97" t="s">
        <v>49</v>
      </c>
      <c r="F97" t="s">
        <v>19</v>
      </c>
      <c r="G97" t="s">
        <v>25</v>
      </c>
      <c r="H97" t="s">
        <v>21</v>
      </c>
      <c r="I97" t="s">
        <v>24</v>
      </c>
      <c r="J97" t="s">
        <v>23</v>
      </c>
      <c r="K97">
        <v>460</v>
      </c>
      <c r="L97">
        <v>15.519639</v>
      </c>
      <c r="M97">
        <v>76.168541458808903</v>
      </c>
      <c r="N97">
        <v>-0.3427111253508357</v>
      </c>
      <c r="O97" s="1" t="str">
        <f>HYPERLINK(".\sm_car_210306_0055\sm_car_210306_0055_096_Ca121TrN_MaLSS_ode23t.png","figure")</f>
        <v>figure</v>
      </c>
      <c r="P97" t="s">
        <v>15</v>
      </c>
    </row>
    <row r="98" spans="1:16" x14ac:dyDescent="0.25">
      <c r="A98">
        <v>97</v>
      </c>
      <c r="B98">
        <v>122</v>
      </c>
      <c r="C98" t="s">
        <v>16</v>
      </c>
      <c r="D98" t="s">
        <v>35</v>
      </c>
      <c r="E98" t="s">
        <v>49</v>
      </c>
      <c r="F98" t="s">
        <v>19</v>
      </c>
      <c r="G98" t="s">
        <v>26</v>
      </c>
      <c r="H98" t="s">
        <v>21</v>
      </c>
      <c r="I98" t="s">
        <v>22</v>
      </c>
      <c r="J98" t="s">
        <v>23</v>
      </c>
      <c r="K98">
        <v>398</v>
      </c>
      <c r="L98">
        <v>18.6731348</v>
      </c>
      <c r="M98">
        <v>247.0597828884554</v>
      </c>
      <c r="N98">
        <v>0.23836822203597841</v>
      </c>
      <c r="O98" s="1" t="str">
        <f>HYPERLINK(".\sm_car_210306_0055\sm_car_210306_0055_097_Ca122TrN_MaWOT_ode23t.png","figure")</f>
        <v>figure</v>
      </c>
      <c r="P98" t="s">
        <v>15</v>
      </c>
    </row>
    <row r="99" spans="1:16" x14ac:dyDescent="0.25">
      <c r="A99">
        <v>98</v>
      </c>
      <c r="B99">
        <v>122</v>
      </c>
      <c r="C99" t="s">
        <v>16</v>
      </c>
      <c r="D99" t="s">
        <v>35</v>
      </c>
      <c r="E99" t="s">
        <v>49</v>
      </c>
      <c r="F99" t="s">
        <v>19</v>
      </c>
      <c r="G99" t="s">
        <v>26</v>
      </c>
      <c r="H99" t="s">
        <v>21</v>
      </c>
      <c r="I99" t="s">
        <v>24</v>
      </c>
      <c r="J99" t="s">
        <v>23</v>
      </c>
      <c r="K99">
        <v>444</v>
      </c>
      <c r="L99">
        <v>18.971347900000001</v>
      </c>
      <c r="M99">
        <v>76.163144895072691</v>
      </c>
      <c r="N99">
        <v>-0.33812095274506482</v>
      </c>
      <c r="O99" s="1" t="str">
        <f>HYPERLINK(".\sm_car_210306_0055\sm_car_210306_0055_098_Ca122TrN_MaLSS_ode23t.png","figure")</f>
        <v>figure</v>
      </c>
      <c r="P99" t="s">
        <v>15</v>
      </c>
    </row>
    <row r="100" spans="1:16" x14ac:dyDescent="0.25">
      <c r="A100">
        <v>99</v>
      </c>
      <c r="B100">
        <v>123</v>
      </c>
      <c r="C100" t="s">
        <v>16</v>
      </c>
      <c r="D100" t="s">
        <v>35</v>
      </c>
      <c r="E100" t="s">
        <v>49</v>
      </c>
      <c r="F100" t="s">
        <v>19</v>
      </c>
      <c r="G100" t="s">
        <v>27</v>
      </c>
      <c r="H100" t="s">
        <v>21</v>
      </c>
      <c r="I100" t="s">
        <v>22</v>
      </c>
      <c r="J100" t="s">
        <v>23</v>
      </c>
      <c r="K100">
        <v>441</v>
      </c>
      <c r="L100">
        <v>19.138237400000001</v>
      </c>
      <c r="M100">
        <v>246.68762194752983</v>
      </c>
      <c r="N100">
        <v>0.23689550200690584</v>
      </c>
      <c r="O100" s="1" t="str">
        <f>HYPERLINK(".\sm_car_210306_0055\sm_car_210306_0055_099_Ca123TrN_MaWOT_ode23t.png","figure")</f>
        <v>figure</v>
      </c>
      <c r="P100" t="s">
        <v>15</v>
      </c>
    </row>
    <row r="101" spans="1:16" x14ac:dyDescent="0.25">
      <c r="A101">
        <v>100</v>
      </c>
      <c r="B101">
        <v>123</v>
      </c>
      <c r="C101" t="s">
        <v>16</v>
      </c>
      <c r="D101" t="s">
        <v>35</v>
      </c>
      <c r="E101" t="s">
        <v>49</v>
      </c>
      <c r="F101" t="s">
        <v>19</v>
      </c>
      <c r="G101" t="s">
        <v>27</v>
      </c>
      <c r="H101" t="s">
        <v>21</v>
      </c>
      <c r="I101" t="s">
        <v>24</v>
      </c>
      <c r="J101" t="s">
        <v>23</v>
      </c>
      <c r="K101">
        <v>475</v>
      </c>
      <c r="L101">
        <v>19.9136226</v>
      </c>
      <c r="M101">
        <v>76.013976319062721</v>
      </c>
      <c r="N101">
        <v>-0.33088435149216716</v>
      </c>
      <c r="O101" s="1" t="str">
        <f>HYPERLINK(".\sm_car_210306_0055\sm_car_210306_0055_100_Ca123TrN_MaLSS_ode23t.png","figure")</f>
        <v>figure</v>
      </c>
      <c r="P101" t="s">
        <v>15</v>
      </c>
    </row>
    <row r="102" spans="1:16" x14ac:dyDescent="0.25">
      <c r="A102">
        <v>101</v>
      </c>
      <c r="B102">
        <v>124</v>
      </c>
      <c r="C102" t="s">
        <v>16</v>
      </c>
      <c r="D102" t="s">
        <v>35</v>
      </c>
      <c r="E102" t="s">
        <v>49</v>
      </c>
      <c r="F102" t="s">
        <v>28</v>
      </c>
      <c r="G102" t="s">
        <v>20</v>
      </c>
      <c r="H102" t="s">
        <v>21</v>
      </c>
      <c r="I102" t="s">
        <v>22</v>
      </c>
      <c r="J102" t="s">
        <v>23</v>
      </c>
      <c r="K102">
        <v>1001</v>
      </c>
      <c r="L102">
        <v>15.0130251</v>
      </c>
      <c r="M102">
        <v>248.21784296403953</v>
      </c>
      <c r="N102">
        <v>0.24280549087867126</v>
      </c>
      <c r="O102" s="1" t="str">
        <f>HYPERLINK(".\sm_car_210306_0055\sm_car_210306_0055_101_Ca124TrN_MaWOT_ode23t.png","figure")</f>
        <v>figure</v>
      </c>
      <c r="P102" t="s">
        <v>15</v>
      </c>
    </row>
    <row r="103" spans="1:16" x14ac:dyDescent="0.25">
      <c r="A103">
        <v>102</v>
      </c>
      <c r="B103">
        <v>124</v>
      </c>
      <c r="C103" t="s">
        <v>16</v>
      </c>
      <c r="D103" t="s">
        <v>35</v>
      </c>
      <c r="E103" t="s">
        <v>49</v>
      </c>
      <c r="F103" t="s">
        <v>28</v>
      </c>
      <c r="G103" t="s">
        <v>20</v>
      </c>
      <c r="H103" t="s">
        <v>21</v>
      </c>
      <c r="I103" t="s">
        <v>24</v>
      </c>
      <c r="J103" t="s">
        <v>23</v>
      </c>
      <c r="K103">
        <v>1041</v>
      </c>
      <c r="L103">
        <v>15.1674586</v>
      </c>
      <c r="M103">
        <v>76.486796805461424</v>
      </c>
      <c r="N103">
        <v>-0.33977635354514735</v>
      </c>
      <c r="O103" s="1" t="str">
        <f>HYPERLINK(".\sm_car_210306_0055\sm_car_210306_0055_102_Ca124TrN_MaLSS_ode23t.png","figure")</f>
        <v>figure</v>
      </c>
      <c r="P103" t="s">
        <v>15</v>
      </c>
    </row>
    <row r="104" spans="1:16" x14ac:dyDescent="0.25">
      <c r="A104">
        <v>103</v>
      </c>
      <c r="B104">
        <v>125</v>
      </c>
      <c r="C104" t="s">
        <v>16</v>
      </c>
      <c r="D104" t="s">
        <v>35</v>
      </c>
      <c r="E104" t="s">
        <v>49</v>
      </c>
      <c r="F104" t="s">
        <v>28</v>
      </c>
      <c r="G104" t="s">
        <v>25</v>
      </c>
      <c r="H104" t="s">
        <v>21</v>
      </c>
      <c r="I104" t="s">
        <v>22</v>
      </c>
      <c r="J104" t="s">
        <v>23</v>
      </c>
      <c r="K104">
        <v>1009</v>
      </c>
      <c r="L104">
        <v>16.891129899999999</v>
      </c>
      <c r="M104">
        <v>246.91867814240504</v>
      </c>
      <c r="N104">
        <v>0.23890140608878752</v>
      </c>
      <c r="O104" s="1" t="str">
        <f>HYPERLINK(".\sm_car_210306_0055\sm_car_210306_0055_103_Ca125TrN_MaWOT_ode23t.png","figure")</f>
        <v>figure</v>
      </c>
      <c r="P104" t="s">
        <v>15</v>
      </c>
    </row>
    <row r="105" spans="1:16" x14ac:dyDescent="0.25">
      <c r="A105">
        <v>104</v>
      </c>
      <c r="B105">
        <v>125</v>
      </c>
      <c r="C105" t="s">
        <v>16</v>
      </c>
      <c r="D105" t="s">
        <v>35</v>
      </c>
      <c r="E105" t="s">
        <v>49</v>
      </c>
      <c r="F105" t="s">
        <v>28</v>
      </c>
      <c r="G105" t="s">
        <v>25</v>
      </c>
      <c r="H105" t="s">
        <v>21</v>
      </c>
      <c r="I105" t="s">
        <v>24</v>
      </c>
      <c r="J105" t="s">
        <v>23</v>
      </c>
      <c r="K105">
        <v>1066</v>
      </c>
      <c r="L105">
        <v>17.075341999999999</v>
      </c>
      <c r="M105">
        <v>76.154994982639849</v>
      </c>
      <c r="N105">
        <v>-0.3402759880467805</v>
      </c>
      <c r="O105" s="1" t="str">
        <f>HYPERLINK(".\sm_car_210306_0055\sm_car_210306_0055_104_Ca125TrN_MaLSS_ode23t.png","figure")</f>
        <v>figure</v>
      </c>
      <c r="P105" t="s">
        <v>15</v>
      </c>
    </row>
    <row r="106" spans="1:16" x14ac:dyDescent="0.25">
      <c r="A106">
        <v>105</v>
      </c>
      <c r="B106">
        <v>126</v>
      </c>
      <c r="C106" t="s">
        <v>16</v>
      </c>
      <c r="D106" t="s">
        <v>35</v>
      </c>
      <c r="E106" t="s">
        <v>49</v>
      </c>
      <c r="F106" t="s">
        <v>28</v>
      </c>
      <c r="G106" t="s">
        <v>26</v>
      </c>
      <c r="H106" t="s">
        <v>21</v>
      </c>
      <c r="I106" t="s">
        <v>22</v>
      </c>
      <c r="J106" t="s">
        <v>23</v>
      </c>
      <c r="K106">
        <v>1006</v>
      </c>
      <c r="L106">
        <v>19.955288899999999</v>
      </c>
      <c r="M106">
        <v>247.16419349691122</v>
      </c>
      <c r="N106">
        <v>0.23924592973494363</v>
      </c>
      <c r="O106" s="1" t="str">
        <f>HYPERLINK(".\sm_car_210306_0055\sm_car_210306_0055_105_Ca126TrN_MaWOT_ode23t.png","figure")</f>
        <v>figure</v>
      </c>
      <c r="P106" t="s">
        <v>15</v>
      </c>
    </row>
    <row r="107" spans="1:16" x14ac:dyDescent="0.25">
      <c r="A107">
        <v>106</v>
      </c>
      <c r="B107">
        <v>126</v>
      </c>
      <c r="C107" t="s">
        <v>16</v>
      </c>
      <c r="D107" t="s">
        <v>35</v>
      </c>
      <c r="E107" t="s">
        <v>49</v>
      </c>
      <c r="F107" t="s">
        <v>28</v>
      </c>
      <c r="G107" t="s">
        <v>26</v>
      </c>
      <c r="H107" t="s">
        <v>21</v>
      </c>
      <c r="I107" t="s">
        <v>24</v>
      </c>
      <c r="J107" t="s">
        <v>23</v>
      </c>
      <c r="K107">
        <v>1048</v>
      </c>
      <c r="L107">
        <v>19.963700299999999</v>
      </c>
      <c r="M107">
        <v>76.158995527419833</v>
      </c>
      <c r="N107">
        <v>-0.34669210380194193</v>
      </c>
      <c r="O107" s="1" t="str">
        <f>HYPERLINK(".\sm_car_210306_0055\sm_car_210306_0055_106_Ca126TrN_MaLSS_ode23t.png","figure")</f>
        <v>figure</v>
      </c>
      <c r="P107" t="s">
        <v>15</v>
      </c>
    </row>
    <row r="108" spans="1:16" x14ac:dyDescent="0.25">
      <c r="A108">
        <v>107</v>
      </c>
      <c r="B108">
        <v>127</v>
      </c>
      <c r="C108" t="s">
        <v>16</v>
      </c>
      <c r="D108" t="s">
        <v>35</v>
      </c>
      <c r="E108" t="s">
        <v>49</v>
      </c>
      <c r="F108" t="s">
        <v>28</v>
      </c>
      <c r="G108" t="s">
        <v>27</v>
      </c>
      <c r="H108" t="s">
        <v>21</v>
      </c>
      <c r="I108" t="s">
        <v>22</v>
      </c>
      <c r="J108" t="s">
        <v>23</v>
      </c>
      <c r="K108">
        <v>1034</v>
      </c>
      <c r="L108">
        <v>20.0279661</v>
      </c>
      <c r="M108">
        <v>246.63114697981896</v>
      </c>
      <c r="N108">
        <v>0.23760457945970631</v>
      </c>
      <c r="O108" s="1" t="str">
        <f>HYPERLINK(".\sm_car_210306_0055\sm_car_210306_0055_107_Ca127TrN_MaWOT_ode23t.png","figure")</f>
        <v>figure</v>
      </c>
      <c r="P108" t="s">
        <v>15</v>
      </c>
    </row>
    <row r="109" spans="1:16" x14ac:dyDescent="0.25">
      <c r="A109">
        <v>108</v>
      </c>
      <c r="B109">
        <v>127</v>
      </c>
      <c r="C109" t="s">
        <v>16</v>
      </c>
      <c r="D109" t="s">
        <v>35</v>
      </c>
      <c r="E109" t="s">
        <v>49</v>
      </c>
      <c r="F109" t="s">
        <v>28</v>
      </c>
      <c r="G109" t="s">
        <v>27</v>
      </c>
      <c r="H109" t="s">
        <v>21</v>
      </c>
      <c r="I109" t="s">
        <v>24</v>
      </c>
      <c r="J109" t="s">
        <v>23</v>
      </c>
      <c r="K109">
        <v>1053</v>
      </c>
      <c r="L109">
        <v>19.703164099999999</v>
      </c>
      <c r="M109">
        <v>76.00399634128145</v>
      </c>
      <c r="N109">
        <v>-0.34084766829673913</v>
      </c>
      <c r="O109" s="1" t="str">
        <f>HYPERLINK(".\sm_car_210306_0055\sm_car_210306_0055_108_Ca127TrN_MaLSS_ode23t.png","figure")</f>
        <v>figure</v>
      </c>
      <c r="P109" t="s">
        <v>15</v>
      </c>
    </row>
    <row r="110" spans="1:16" x14ac:dyDescent="0.25">
      <c r="A110">
        <v>109</v>
      </c>
      <c r="B110">
        <v>140</v>
      </c>
      <c r="C110" t="s">
        <v>45</v>
      </c>
      <c r="D110" t="s">
        <v>17</v>
      </c>
      <c r="E110" t="s">
        <v>49</v>
      </c>
      <c r="F110" t="s">
        <v>19</v>
      </c>
      <c r="G110" t="s">
        <v>26</v>
      </c>
      <c r="H110" t="s">
        <v>21</v>
      </c>
      <c r="I110" t="s">
        <v>22</v>
      </c>
      <c r="J110" t="s">
        <v>23</v>
      </c>
      <c r="K110">
        <v>471</v>
      </c>
      <c r="L110">
        <v>36.343459600000003</v>
      </c>
      <c r="M110">
        <v>410.93153156761826</v>
      </c>
      <c r="N110">
        <v>0.3719777607763684</v>
      </c>
      <c r="O110" s="1" t="str">
        <f>HYPERLINK(".\sm_car_210306_0055\sm_car_210306_0055_109_Ca140TrN_MaWOT_ode23t.png","figure")</f>
        <v>figure</v>
      </c>
      <c r="P110" t="s">
        <v>15</v>
      </c>
    </row>
    <row r="111" spans="1:16" x14ac:dyDescent="0.25">
      <c r="A111">
        <v>110</v>
      </c>
      <c r="B111">
        <v>140</v>
      </c>
      <c r="C111" t="s">
        <v>45</v>
      </c>
      <c r="D111" t="s">
        <v>17</v>
      </c>
      <c r="E111" t="s">
        <v>49</v>
      </c>
      <c r="F111" t="s">
        <v>19</v>
      </c>
      <c r="G111" t="s">
        <v>26</v>
      </c>
      <c r="H111" t="s">
        <v>21</v>
      </c>
      <c r="I111" t="s">
        <v>24</v>
      </c>
      <c r="J111" t="s">
        <v>23</v>
      </c>
      <c r="K111">
        <v>489</v>
      </c>
      <c r="L111">
        <v>34.344425600000001</v>
      </c>
      <c r="M111">
        <v>157.10840642529271</v>
      </c>
      <c r="N111">
        <v>-1.1003710724466114</v>
      </c>
      <c r="O111" s="1" t="str">
        <f>HYPERLINK(".\sm_car_210306_0055\sm_car_210306_0055_110_Ca140TrN_MaLSS_ode23t.png","figure")</f>
        <v>figure</v>
      </c>
      <c r="P111" t="s">
        <v>15</v>
      </c>
    </row>
    <row r="112" spans="1:16" x14ac:dyDescent="0.25">
      <c r="A112">
        <v>111</v>
      </c>
      <c r="B112">
        <v>142</v>
      </c>
      <c r="C112" t="s">
        <v>45</v>
      </c>
      <c r="D112" t="s">
        <v>17</v>
      </c>
      <c r="E112" t="s">
        <v>49</v>
      </c>
      <c r="F112" t="s">
        <v>28</v>
      </c>
      <c r="G112" t="s">
        <v>26</v>
      </c>
      <c r="H112" t="s">
        <v>21</v>
      </c>
      <c r="I112" t="s">
        <v>22</v>
      </c>
      <c r="J112" t="s">
        <v>23</v>
      </c>
      <c r="K112">
        <v>647</v>
      </c>
      <c r="L112">
        <v>30.224941300000001</v>
      </c>
      <c r="M112">
        <v>411.46176763199566</v>
      </c>
      <c r="N112">
        <v>0.37428975797855341</v>
      </c>
      <c r="O112" s="1" t="str">
        <f>HYPERLINK(".\sm_car_210306_0055\sm_car_210306_0055_111_Ca142TrN_MaWOT_ode23t.png","figure")</f>
        <v>figure</v>
      </c>
      <c r="P112" t="s">
        <v>15</v>
      </c>
    </row>
    <row r="113" spans="1:16" x14ac:dyDescent="0.25">
      <c r="A113">
        <v>112</v>
      </c>
      <c r="B113">
        <v>142</v>
      </c>
      <c r="C113" t="s">
        <v>45</v>
      </c>
      <c r="D113" t="s">
        <v>17</v>
      </c>
      <c r="E113" t="s">
        <v>49</v>
      </c>
      <c r="F113" t="s">
        <v>28</v>
      </c>
      <c r="G113" t="s">
        <v>26</v>
      </c>
      <c r="H113" t="s">
        <v>21</v>
      </c>
      <c r="I113" t="s">
        <v>24</v>
      </c>
      <c r="J113" t="s">
        <v>23</v>
      </c>
      <c r="K113">
        <v>696</v>
      </c>
      <c r="L113">
        <v>32.208313599999997</v>
      </c>
      <c r="M113">
        <v>157.2525331652667</v>
      </c>
      <c r="N113">
        <v>-1.0452762556406066</v>
      </c>
      <c r="O113" s="1" t="str">
        <f>HYPERLINK(".\sm_car_210306_0055\sm_car_210306_0055_112_Ca142TrN_MaLSS_ode23t.png","figure")</f>
        <v>figure</v>
      </c>
      <c r="P113" t="s">
        <v>15</v>
      </c>
    </row>
    <row r="114" spans="1:16" x14ac:dyDescent="0.25">
      <c r="A114">
        <v>113</v>
      </c>
      <c r="B114">
        <v>145</v>
      </c>
      <c r="C114" t="s">
        <v>46</v>
      </c>
      <c r="D114" t="s">
        <v>17</v>
      </c>
      <c r="E114" t="s">
        <v>50</v>
      </c>
      <c r="F114" t="s">
        <v>19</v>
      </c>
      <c r="G114" t="s">
        <v>26</v>
      </c>
      <c r="H114" t="s">
        <v>21</v>
      </c>
      <c r="I114" t="s">
        <v>22</v>
      </c>
      <c r="J114" t="s">
        <v>23</v>
      </c>
      <c r="K114">
        <v>541</v>
      </c>
      <c r="L114">
        <v>41.800894700000001</v>
      </c>
      <c r="M114">
        <v>155.5467845594076</v>
      </c>
      <c r="N114">
        <v>-5.1577235842187159</v>
      </c>
      <c r="O114" s="1" t="str">
        <f>HYPERLINK(".\sm_car_210306_0055\sm_car_210306_0055_113_Ca145TrN_MaWOT_ode23t.png","figure")</f>
        <v>figure</v>
      </c>
      <c r="P114" t="s">
        <v>15</v>
      </c>
    </row>
    <row r="115" spans="1:16" x14ac:dyDescent="0.25">
      <c r="A115">
        <v>114</v>
      </c>
      <c r="B115">
        <v>145</v>
      </c>
      <c r="C115" t="s">
        <v>46</v>
      </c>
      <c r="D115" t="s">
        <v>17</v>
      </c>
      <c r="E115" t="s">
        <v>50</v>
      </c>
      <c r="F115" t="s">
        <v>19</v>
      </c>
      <c r="G115" t="s">
        <v>26</v>
      </c>
      <c r="H115" t="s">
        <v>21</v>
      </c>
      <c r="I115" t="s">
        <v>24</v>
      </c>
      <c r="J115" t="s">
        <v>23</v>
      </c>
      <c r="K115">
        <v>552</v>
      </c>
      <c r="L115">
        <v>39.973883499999999</v>
      </c>
      <c r="M115">
        <v>44.269794123206246</v>
      </c>
      <c r="N115">
        <v>-0.39557551373997568</v>
      </c>
      <c r="O115" s="1" t="str">
        <f>HYPERLINK(".\sm_car_210306_0055\sm_car_210306_0055_114_Ca145TrN_MaLSS_ode23t.png","figure")</f>
        <v>figure</v>
      </c>
      <c r="P115" t="s">
        <v>15</v>
      </c>
    </row>
    <row r="116" spans="1:16" x14ac:dyDescent="0.25">
      <c r="A116">
        <v>115</v>
      </c>
      <c r="B116">
        <v>146</v>
      </c>
      <c r="C116" t="s">
        <v>46</v>
      </c>
      <c r="D116" t="s">
        <v>17</v>
      </c>
      <c r="E116" t="s">
        <v>49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408</v>
      </c>
      <c r="L116">
        <v>39.877432900000002</v>
      </c>
      <c r="M116">
        <v>164.02716417876138</v>
      </c>
      <c r="N116">
        <v>-13.961698536449527</v>
      </c>
      <c r="O116" s="1" t="str">
        <f>HYPERLINK(".\sm_car_210306_0055\sm_car_210306_0055_115_Ca146TrN_MaWOT_ode23t.png","figure")</f>
        <v>figure</v>
      </c>
      <c r="P116" t="s">
        <v>15</v>
      </c>
    </row>
    <row r="117" spans="1:16" x14ac:dyDescent="0.25">
      <c r="A117">
        <v>116</v>
      </c>
      <c r="B117">
        <v>146</v>
      </c>
      <c r="C117" t="s">
        <v>46</v>
      </c>
      <c r="D117" t="s">
        <v>17</v>
      </c>
      <c r="E117" t="s">
        <v>49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387</v>
      </c>
      <c r="L117">
        <v>32.765128900000001</v>
      </c>
      <c r="M117">
        <v>45.876493934520404</v>
      </c>
      <c r="N117">
        <v>-0.56957283473476106</v>
      </c>
      <c r="O117" s="1" t="str">
        <f>HYPERLINK(".\sm_car_210306_0055\sm_car_210306_0055_116_Ca146TrN_MaLSS_ode23t.png","figure")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408</v>
      </c>
      <c r="L118">
        <v>39.623410700000001</v>
      </c>
      <c r="M118">
        <v>164.02716417876138</v>
      </c>
      <c r="N118">
        <v>-13.961698536449527</v>
      </c>
      <c r="O118" s="1" t="str">
        <f>HYPERLINK(".\sm_car_210306_0055\sm_car_210306_0055_117_Ca146TrN_MaWOT_ode23t.png","figure")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387</v>
      </c>
      <c r="L119">
        <v>32.4935957</v>
      </c>
      <c r="M119">
        <v>45.876493934520404</v>
      </c>
      <c r="N119">
        <v>-0.56957283473476106</v>
      </c>
      <c r="O119" s="1" t="str">
        <f>HYPERLINK(".\sm_car_210306_0055\sm_car_210306_0055_118_Ca146TrN_MaLSS_ode23t.png","figure")</f>
        <v>figure</v>
      </c>
      <c r="P119" t="s">
        <v>15</v>
      </c>
    </row>
    <row r="120" spans="1:16" x14ac:dyDescent="0.25">
      <c r="A120">
        <v>119</v>
      </c>
      <c r="B120">
        <v>161</v>
      </c>
      <c r="C120" t="s">
        <v>45</v>
      </c>
      <c r="D120" t="s">
        <v>51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453</v>
      </c>
      <c r="L120">
        <v>42.211413299999997</v>
      </c>
      <c r="M120">
        <v>183.09115976397433</v>
      </c>
      <c r="N120">
        <v>5.4351751457933908E-4</v>
      </c>
      <c r="O120" s="1" t="str">
        <f>HYPERLINK(".\sm_car_210306_0055\sm_car_210306_0055_119_Ca161TrN_MaWOT_ode23t.png","figure")</f>
        <v>figure</v>
      </c>
      <c r="P120" t="s">
        <v>15</v>
      </c>
    </row>
    <row r="121" spans="1:16" x14ac:dyDescent="0.25">
      <c r="A121">
        <v>120</v>
      </c>
      <c r="B121">
        <v>161</v>
      </c>
      <c r="C121" t="s">
        <v>45</v>
      </c>
      <c r="D121" t="s">
        <v>51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507</v>
      </c>
      <c r="L121">
        <v>46.734580200000003</v>
      </c>
      <c r="M121">
        <v>157.02856286834688</v>
      </c>
      <c r="N121">
        <v>-1.1070996094369681</v>
      </c>
      <c r="O121" s="1" t="str">
        <f>HYPERLINK(".\sm_car_210306_0055\sm_car_210306_0055_120_Ca161TrN_MaLSS_ode23t.png","figure")</f>
        <v>figure</v>
      </c>
      <c r="P121" t="s">
        <v>15</v>
      </c>
    </row>
    <row r="122" spans="1:16" x14ac:dyDescent="0.25">
      <c r="A122">
        <v>121</v>
      </c>
      <c r="B122">
        <v>163</v>
      </c>
      <c r="C122" t="s">
        <v>45</v>
      </c>
      <c r="D122" t="s">
        <v>52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487</v>
      </c>
      <c r="L122">
        <v>45.059035000000002</v>
      </c>
      <c r="M122">
        <v>281.94995498915847</v>
      </c>
      <c r="N122">
        <v>0.11621973376804216</v>
      </c>
      <c r="O122" s="1" t="str">
        <f>HYPERLINK(".\sm_car_210306_0055\sm_car_210306_0055_121_Ca163TrN_MaWOT_ode23t.png","figure")</f>
        <v>figure</v>
      </c>
      <c r="P122" t="s">
        <v>15</v>
      </c>
    </row>
    <row r="123" spans="1:16" x14ac:dyDescent="0.25">
      <c r="A123">
        <v>122</v>
      </c>
      <c r="B123">
        <v>163</v>
      </c>
      <c r="C123" t="s">
        <v>45</v>
      </c>
      <c r="D123" t="s">
        <v>52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586</v>
      </c>
      <c r="L123">
        <v>53.645243399999998</v>
      </c>
      <c r="M123">
        <v>259.02500601892638</v>
      </c>
      <c r="N123">
        <v>2.2821651727561494</v>
      </c>
      <c r="O123" s="1" t="str">
        <f>HYPERLINK(".\sm_car_210306_0055\sm_car_210306_0055_122_Ca163TrN_MaLSS_ode23t.png","figure")</f>
        <v>figure</v>
      </c>
      <c r="P123" t="s">
        <v>15</v>
      </c>
    </row>
    <row r="124" spans="1:16" x14ac:dyDescent="0.25">
      <c r="A124">
        <v>123</v>
      </c>
      <c r="B124">
        <v>12</v>
      </c>
      <c r="C124" t="s">
        <v>16</v>
      </c>
      <c r="D124" t="s">
        <v>17</v>
      </c>
      <c r="E124" t="s">
        <v>49</v>
      </c>
      <c r="F124" t="s">
        <v>28</v>
      </c>
      <c r="G124" t="s">
        <v>20</v>
      </c>
      <c r="H124" t="s">
        <v>21</v>
      </c>
      <c r="I124" t="s">
        <v>53</v>
      </c>
      <c r="J124" t="s">
        <v>23</v>
      </c>
      <c r="K124">
        <v>1102</v>
      </c>
      <c r="L124">
        <v>35.365231899999998</v>
      </c>
      <c r="M124">
        <v>311.39402630156206</v>
      </c>
      <c r="N124">
        <v>-3.7447293799175441E-6</v>
      </c>
      <c r="O124" s="1" t="str">
        <f>HYPERLINK(".\sm_car_210306_0055\sm_car_210306_0055_123_Ca012TrN_MaDLC_ode23t.png","figure")</f>
        <v>figure</v>
      </c>
      <c r="P124" t="s">
        <v>15</v>
      </c>
    </row>
    <row r="125" spans="1:16" x14ac:dyDescent="0.25">
      <c r="A125">
        <v>124</v>
      </c>
      <c r="B125">
        <v>12</v>
      </c>
      <c r="C125" t="s">
        <v>16</v>
      </c>
      <c r="D125" t="s">
        <v>17</v>
      </c>
      <c r="E125" t="s">
        <v>49</v>
      </c>
      <c r="F125" t="s">
        <v>28</v>
      </c>
      <c r="G125" t="s">
        <v>20</v>
      </c>
      <c r="H125" t="s">
        <v>21</v>
      </c>
      <c r="I125" t="s">
        <v>54</v>
      </c>
      <c r="J125" t="s">
        <v>23</v>
      </c>
      <c r="K125">
        <v>883</v>
      </c>
      <c r="L125">
        <v>27.258493399999999</v>
      </c>
      <c r="M125">
        <v>73.9737005575724</v>
      </c>
      <c r="N125">
        <v>3.8336860301443295E-3</v>
      </c>
      <c r="O125" s="1" t="str">
        <f>HYPERLINK(".\sm_car_210306_0055\sm_car_210306_0055_124_Ca012TrN_MaIPA_ode23t.png","figure")</f>
        <v>figure</v>
      </c>
      <c r="P125" t="s">
        <v>15</v>
      </c>
    </row>
    <row r="126" spans="1:16" x14ac:dyDescent="0.25">
      <c r="A126">
        <v>125</v>
      </c>
      <c r="B126">
        <v>142</v>
      </c>
      <c r="C126" t="s">
        <v>45</v>
      </c>
      <c r="D126" t="s">
        <v>17</v>
      </c>
      <c r="E126" t="s">
        <v>49</v>
      </c>
      <c r="F126" t="s">
        <v>28</v>
      </c>
      <c r="G126" t="s">
        <v>26</v>
      </c>
      <c r="H126" t="s">
        <v>21</v>
      </c>
      <c r="I126" t="s">
        <v>53</v>
      </c>
      <c r="J126" t="s">
        <v>23</v>
      </c>
      <c r="K126">
        <v>773</v>
      </c>
      <c r="L126">
        <v>38.9180408</v>
      </c>
      <c r="M126">
        <v>315.36703060069607</v>
      </c>
      <c r="N126">
        <v>-2.4135349367870873E-4</v>
      </c>
      <c r="O126" s="1" t="str">
        <f>HYPERLINK(".\sm_car_210306_0055\sm_car_210306_0055_125_Ca142TrN_MaDLC_ode23t.png","figure")</f>
        <v>figure</v>
      </c>
      <c r="P126" t="s">
        <v>15</v>
      </c>
    </row>
    <row r="127" spans="1:16" x14ac:dyDescent="0.25">
      <c r="A127">
        <v>126</v>
      </c>
      <c r="B127">
        <v>142</v>
      </c>
      <c r="C127" t="s">
        <v>45</v>
      </c>
      <c r="D127" t="s">
        <v>17</v>
      </c>
      <c r="E127" t="s">
        <v>49</v>
      </c>
      <c r="F127" t="s">
        <v>28</v>
      </c>
      <c r="G127" t="s">
        <v>26</v>
      </c>
      <c r="H127" t="s">
        <v>21</v>
      </c>
      <c r="I127" t="s">
        <v>54</v>
      </c>
      <c r="J127" t="s">
        <v>23</v>
      </c>
      <c r="K127">
        <v>596</v>
      </c>
      <c r="L127">
        <v>29.303011300000001</v>
      </c>
      <c r="M127">
        <v>82.426569130304429</v>
      </c>
      <c r="N127">
        <v>-1.4929423093697314E-2</v>
      </c>
      <c r="O127" s="1" t="str">
        <f>HYPERLINK(".\sm_car_210306_0055\sm_car_210306_0055_126_Ca142TrN_MaIPA_ode23t.png","figure")</f>
        <v>figure</v>
      </c>
      <c r="P127" t="s">
        <v>15</v>
      </c>
    </row>
    <row r="128" spans="1:16" x14ac:dyDescent="0.25">
      <c r="A128">
        <v>127</v>
      </c>
      <c r="B128">
        <v>145</v>
      </c>
      <c r="C128" t="s">
        <v>46</v>
      </c>
      <c r="D128" t="s">
        <v>17</v>
      </c>
      <c r="E128" t="s">
        <v>50</v>
      </c>
      <c r="F128" t="s">
        <v>19</v>
      </c>
      <c r="G128" t="s">
        <v>26</v>
      </c>
      <c r="H128" t="s">
        <v>21</v>
      </c>
      <c r="I128" t="s">
        <v>53</v>
      </c>
      <c r="J128" t="s">
        <v>23</v>
      </c>
      <c r="K128">
        <v>1256</v>
      </c>
      <c r="L128">
        <v>66.477331399999997</v>
      </c>
      <c r="M128">
        <v>305.43615430890179</v>
      </c>
      <c r="N128">
        <v>-1.2547624577148753E-2</v>
      </c>
      <c r="O128" s="1" t="str">
        <f>HYPERLINK(".\sm_car_210306_0055\sm_car_210306_0055_127_Ca145TrN_MaDLC_ode23t.png","figure")</f>
        <v>figure</v>
      </c>
      <c r="P128" t="s">
        <v>15</v>
      </c>
    </row>
    <row r="129" spans="1:16" x14ac:dyDescent="0.25">
      <c r="A129">
        <v>128</v>
      </c>
      <c r="B129">
        <v>145</v>
      </c>
      <c r="C129" t="s">
        <v>46</v>
      </c>
      <c r="D129" t="s">
        <v>17</v>
      </c>
      <c r="E129" t="s">
        <v>50</v>
      </c>
      <c r="F129" t="s">
        <v>19</v>
      </c>
      <c r="G129" t="s">
        <v>26</v>
      </c>
      <c r="H129" t="s">
        <v>21</v>
      </c>
      <c r="I129" t="s">
        <v>54</v>
      </c>
      <c r="J129" t="s">
        <v>23</v>
      </c>
      <c r="K129">
        <v>457</v>
      </c>
      <c r="L129">
        <v>40.702872800000002</v>
      </c>
      <c r="M129">
        <v>50.384414237466629</v>
      </c>
      <c r="N129">
        <v>-0.39547986717051214</v>
      </c>
      <c r="O129" s="1" t="str">
        <f>HYPERLINK(".\sm_car_210306_0055\sm_car_210306_0055_128_Ca145TrN_MaIPA_ode23t.png","figure")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55</v>
      </c>
      <c r="J130" t="s">
        <v>23</v>
      </c>
      <c r="K130">
        <v>2697</v>
      </c>
      <c r="L130">
        <v>44.225692600000002</v>
      </c>
      <c r="M130">
        <v>-13.844784687182154</v>
      </c>
      <c r="N130">
        <v>-0.25213026252394499</v>
      </c>
      <c r="O130" s="1" t="str">
        <f>HYPERLINK(".\sm_car_210306_0055\sm_car_210306_0055_129_Ca012TrN_MaMPK_ode23t.png","figure")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56</v>
      </c>
      <c r="J131" t="s">
        <v>23</v>
      </c>
      <c r="K131">
        <v>2718</v>
      </c>
      <c r="L131">
        <v>52.546033199999997</v>
      </c>
      <c r="M131">
        <v>5.0201665328197986</v>
      </c>
      <c r="N131">
        <v>-0.40001150559283849</v>
      </c>
      <c r="O131" s="1" t="str">
        <f>HYPERLINK(".\sm_car_210306_0055\sm_car_210306_0055_130_Ca012TrN_MaMPC_ode23t.png","figure")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55</v>
      </c>
      <c r="J132" t="s">
        <v>23</v>
      </c>
      <c r="K132">
        <v>2394</v>
      </c>
      <c r="L132">
        <v>96.1205061</v>
      </c>
      <c r="M132">
        <v>-13.850992290623704</v>
      </c>
      <c r="N132">
        <v>-0.28772533074179418</v>
      </c>
      <c r="O132" s="1" t="str">
        <f>HYPERLINK(".\sm_car_210306_0055\sm_car_210306_0055_131_Ca142TrN_MaMPK_ode23t.png","figure")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56</v>
      </c>
      <c r="J133" t="s">
        <v>23</v>
      </c>
      <c r="K133">
        <v>2509</v>
      </c>
      <c r="L133">
        <v>102.5413691</v>
      </c>
      <c r="M133">
        <v>5.0203292891073907</v>
      </c>
      <c r="N133">
        <v>-0.37864299860912254</v>
      </c>
      <c r="O133" s="1" t="str">
        <f>HYPERLINK(".\sm_car_210306_0055\sm_car_210306_0055_132_Ca142TrN_MaMPC_ode23t.png","figure")</f>
        <v>figure</v>
      </c>
      <c r="P133" t="s">
        <v>15</v>
      </c>
    </row>
    <row r="134" spans="1:16" x14ac:dyDescent="0.25">
      <c r="A134">
        <v>133</v>
      </c>
      <c r="B134">
        <v>116</v>
      </c>
      <c r="C134" t="s">
        <v>16</v>
      </c>
      <c r="D134" t="s">
        <v>35</v>
      </c>
      <c r="E134" t="s">
        <v>18</v>
      </c>
      <c r="F134" t="s">
        <v>28</v>
      </c>
      <c r="G134" t="s">
        <v>20</v>
      </c>
      <c r="H134" t="s">
        <v>21</v>
      </c>
      <c r="I134" t="s">
        <v>55</v>
      </c>
      <c r="J134" t="s">
        <v>23</v>
      </c>
      <c r="K134">
        <v>2693</v>
      </c>
      <c r="L134">
        <v>18.254670000000001</v>
      </c>
      <c r="M134">
        <v>-13.851579248404947</v>
      </c>
      <c r="N134">
        <v>-0.21275122600886145</v>
      </c>
      <c r="O134" s="1" t="str">
        <f>HYPERLINK(".\sm_car_210306_0055\sm_car_210306_0055_133_Ca116TrN_MaMPK_ode23t.png","figure")</f>
        <v>figure</v>
      </c>
      <c r="P134" t="s">
        <v>15</v>
      </c>
    </row>
    <row r="135" spans="1:16" x14ac:dyDescent="0.25">
      <c r="A135">
        <v>134</v>
      </c>
      <c r="B135">
        <v>116</v>
      </c>
      <c r="C135" t="s">
        <v>16</v>
      </c>
      <c r="D135" t="s">
        <v>35</v>
      </c>
      <c r="E135" t="s">
        <v>18</v>
      </c>
      <c r="F135" t="s">
        <v>28</v>
      </c>
      <c r="G135" t="s">
        <v>20</v>
      </c>
      <c r="H135" t="s">
        <v>21</v>
      </c>
      <c r="I135" t="s">
        <v>56</v>
      </c>
      <c r="J135" t="s">
        <v>23</v>
      </c>
      <c r="K135">
        <v>2670</v>
      </c>
      <c r="L135">
        <v>19.720003299999998</v>
      </c>
      <c r="M135">
        <v>5.0197953278753946</v>
      </c>
      <c r="N135">
        <v>-0.41572019375034036</v>
      </c>
      <c r="O135" s="1" t="str">
        <f>HYPERLINK(".\sm_car_210306_0055\sm_car_210306_0055_134_Ca116TrN_MaMPC_ode23t.png","figure")</f>
        <v>figure</v>
      </c>
      <c r="P135" t="s">
        <v>15</v>
      </c>
    </row>
    <row r="136" spans="1:16" x14ac:dyDescent="0.25">
      <c r="A136">
        <v>135</v>
      </c>
      <c r="B136">
        <v>143</v>
      </c>
      <c r="C136" t="s">
        <v>46</v>
      </c>
      <c r="D136" t="s">
        <v>17</v>
      </c>
      <c r="E136" t="s">
        <v>47</v>
      </c>
      <c r="F136" t="s">
        <v>19</v>
      </c>
      <c r="G136" t="s">
        <v>26</v>
      </c>
      <c r="H136" t="s">
        <v>21</v>
      </c>
      <c r="I136" t="s">
        <v>55</v>
      </c>
      <c r="J136" t="s">
        <v>23</v>
      </c>
      <c r="K136">
        <v>3602</v>
      </c>
      <c r="L136">
        <v>126.3221152</v>
      </c>
      <c r="M136">
        <v>-13.85331870206722</v>
      </c>
      <c r="N136">
        <v>-0.26510135923188255</v>
      </c>
      <c r="O136" s="1" t="str">
        <f>HYPERLINK(".\sm_car_210306_0055\sm_car_210306_0055_135_Ca143TrN_MaMPK_ode23t.png","figure")</f>
        <v>figure</v>
      </c>
      <c r="P136" t="s">
        <v>15</v>
      </c>
    </row>
    <row r="137" spans="1:16" x14ac:dyDescent="0.25">
      <c r="A137">
        <v>136</v>
      </c>
      <c r="B137">
        <v>143</v>
      </c>
      <c r="C137" t="s">
        <v>46</v>
      </c>
      <c r="D137" t="s">
        <v>17</v>
      </c>
      <c r="E137" t="s">
        <v>47</v>
      </c>
      <c r="F137" t="s">
        <v>19</v>
      </c>
      <c r="G137" t="s">
        <v>26</v>
      </c>
      <c r="H137" t="s">
        <v>21</v>
      </c>
      <c r="I137" t="s">
        <v>56</v>
      </c>
      <c r="J137" t="s">
        <v>23</v>
      </c>
      <c r="K137">
        <v>3727</v>
      </c>
      <c r="L137">
        <v>144.27835519999999</v>
      </c>
      <c r="M137">
        <v>5.0274769022329373</v>
      </c>
      <c r="N137">
        <v>-0.17377983315958132</v>
      </c>
      <c r="O137" s="1" t="str">
        <f>HYPERLINK(".\sm_car_210306_0055\sm_car_210306_0055_136_Ca143TrN_MaMPC_ode23t.png","figure")</f>
        <v>figure</v>
      </c>
      <c r="P137" t="s">
        <v>15</v>
      </c>
    </row>
    <row r="138" spans="1:16" x14ac:dyDescent="0.25">
      <c r="A138">
        <v>137</v>
      </c>
      <c r="B138">
        <v>166</v>
      </c>
      <c r="C138" t="s">
        <v>45</v>
      </c>
      <c r="D138" t="s">
        <v>57</v>
      </c>
      <c r="E138" t="s">
        <v>18</v>
      </c>
      <c r="F138" t="s">
        <v>19</v>
      </c>
      <c r="G138" t="s">
        <v>26</v>
      </c>
      <c r="H138" t="s">
        <v>21</v>
      </c>
      <c r="I138" t="s">
        <v>55</v>
      </c>
      <c r="J138" t="s">
        <v>23</v>
      </c>
      <c r="K138">
        <v>2697</v>
      </c>
      <c r="L138">
        <v>70.638206400000001</v>
      </c>
      <c r="M138">
        <v>-13.853051084764886</v>
      </c>
      <c r="N138">
        <v>-0.23120054453334452</v>
      </c>
      <c r="O138" s="1" t="str">
        <f>HYPERLINK(".\sm_car_210306_0055\sm_car_210306_0055_137_Ca166TrN_MaMPK_ode23t.png","figure")</f>
        <v>figure</v>
      </c>
      <c r="P138" t="s">
        <v>15</v>
      </c>
    </row>
    <row r="139" spans="1:16" x14ac:dyDescent="0.25">
      <c r="A139">
        <v>138</v>
      </c>
      <c r="B139">
        <v>166</v>
      </c>
      <c r="C139" t="s">
        <v>45</v>
      </c>
      <c r="D139" t="s">
        <v>57</v>
      </c>
      <c r="E139" t="s">
        <v>18</v>
      </c>
      <c r="F139" t="s">
        <v>19</v>
      </c>
      <c r="G139" t="s">
        <v>26</v>
      </c>
      <c r="H139" t="s">
        <v>21</v>
      </c>
      <c r="I139" t="s">
        <v>56</v>
      </c>
      <c r="J139" t="s">
        <v>23</v>
      </c>
      <c r="K139">
        <v>2669</v>
      </c>
      <c r="L139">
        <v>78.458228899999995</v>
      </c>
      <c r="M139">
        <v>4.9688517163571015</v>
      </c>
      <c r="N139">
        <v>-0.41454194262458582</v>
      </c>
      <c r="O139" s="1" t="str">
        <f>HYPERLINK(".\sm_car_210306_0055\sm_car_210306_0055_138_Ca166TrN_MaMPC_ode23t.png","figure")</f>
        <v>figure</v>
      </c>
      <c r="P139" t="s">
        <v>15</v>
      </c>
    </row>
    <row r="140" spans="1:16" x14ac:dyDescent="0.25">
      <c r="A140">
        <v>139</v>
      </c>
      <c r="B140">
        <v>169</v>
      </c>
      <c r="C140" t="s">
        <v>45</v>
      </c>
      <c r="D140" t="s">
        <v>58</v>
      </c>
      <c r="E140" t="s">
        <v>49</v>
      </c>
      <c r="F140" t="s">
        <v>19</v>
      </c>
      <c r="G140" t="s">
        <v>26</v>
      </c>
      <c r="H140" t="s">
        <v>21</v>
      </c>
      <c r="I140" t="s">
        <v>55</v>
      </c>
      <c r="J140" t="s">
        <v>23</v>
      </c>
      <c r="K140">
        <v>2689</v>
      </c>
      <c r="L140">
        <v>72.550017999999994</v>
      </c>
      <c r="M140">
        <v>-13.833486512887287</v>
      </c>
      <c r="N140">
        <v>-0.23347713814589496</v>
      </c>
      <c r="O140" s="1" t="str">
        <f>HYPERLINK(".\sm_car_210306_0055\sm_car_210306_0055_139_Ca169TrN_MaMPK_ode23t.png","figure")</f>
        <v>figure</v>
      </c>
      <c r="P140" t="s">
        <v>15</v>
      </c>
    </row>
    <row r="141" spans="1:16" x14ac:dyDescent="0.25">
      <c r="A141">
        <v>140</v>
      </c>
      <c r="B141">
        <v>169</v>
      </c>
      <c r="C141" t="s">
        <v>45</v>
      </c>
      <c r="D141" t="s">
        <v>58</v>
      </c>
      <c r="E141" t="s">
        <v>49</v>
      </c>
      <c r="F141" t="s">
        <v>19</v>
      </c>
      <c r="G141" t="s">
        <v>26</v>
      </c>
      <c r="H141" t="s">
        <v>21</v>
      </c>
      <c r="I141" t="s">
        <v>56</v>
      </c>
      <c r="J141" t="s">
        <v>23</v>
      </c>
      <c r="K141">
        <v>2800</v>
      </c>
      <c r="L141">
        <v>81.149626499999997</v>
      </c>
      <c r="M141">
        <v>5.0194619383044161</v>
      </c>
      <c r="N141">
        <v>-0.41108038931643343</v>
      </c>
      <c r="O141" s="1" t="str">
        <f>HYPERLINK(".\sm_car_210306_0055\sm_car_210306_0055_140_Ca169TrN_MaMPC_ode23t.png","figure")</f>
        <v>figure</v>
      </c>
      <c r="P141" t="s">
        <v>15</v>
      </c>
    </row>
    <row r="142" spans="1:16" x14ac:dyDescent="0.25">
      <c r="A142">
        <v>141</v>
      </c>
      <c r="B142">
        <v>151</v>
      </c>
      <c r="C142" t="s">
        <v>16</v>
      </c>
      <c r="D142" t="s">
        <v>17</v>
      </c>
      <c r="E142" t="s">
        <v>18</v>
      </c>
      <c r="F142" t="s">
        <v>19</v>
      </c>
      <c r="G142" t="s">
        <v>59</v>
      </c>
      <c r="H142" t="s">
        <v>21</v>
      </c>
      <c r="I142" t="s">
        <v>24</v>
      </c>
      <c r="J142" t="s">
        <v>23</v>
      </c>
      <c r="K142">
        <v>351</v>
      </c>
      <c r="L142">
        <v>16.627271499999999</v>
      </c>
      <c r="M142">
        <v>71.466633813078246</v>
      </c>
      <c r="N142">
        <v>-0.65859744847439816</v>
      </c>
      <c r="O142" s="1" t="str">
        <f>HYPERLINK(".\sm_car_210306_0055\sm_car_210306_0055_141_Ca151TrN_MaLSS_ode23t.png","figure")</f>
        <v>figure</v>
      </c>
      <c r="P142" t="s">
        <v>15</v>
      </c>
    </row>
    <row r="143" spans="1:16" x14ac:dyDescent="0.25">
      <c r="A143">
        <v>142</v>
      </c>
      <c r="B143">
        <v>152</v>
      </c>
      <c r="C143" t="s">
        <v>16</v>
      </c>
      <c r="D143" t="s">
        <v>17</v>
      </c>
      <c r="E143" t="s">
        <v>18</v>
      </c>
      <c r="F143" t="s">
        <v>19</v>
      </c>
      <c r="G143" t="s">
        <v>60</v>
      </c>
      <c r="H143" t="s">
        <v>21</v>
      </c>
      <c r="I143" t="s">
        <v>24</v>
      </c>
      <c r="J143" t="s">
        <v>23</v>
      </c>
      <c r="K143">
        <v>373</v>
      </c>
      <c r="L143">
        <v>20.570601100000001</v>
      </c>
      <c r="M143">
        <v>69.778580371391371</v>
      </c>
      <c r="N143">
        <v>-0.33398096874002198</v>
      </c>
      <c r="O143" s="1" t="str">
        <f>HYPERLINK(".\sm_car_210306_0055\sm_car_210306_0055_142_Ca152TrN_MaLSS_ode23t.png","figure")</f>
        <v>figure</v>
      </c>
      <c r="P143" t="s">
        <v>15</v>
      </c>
    </row>
    <row r="144" spans="1:16" x14ac:dyDescent="0.25">
      <c r="A144">
        <v>143</v>
      </c>
      <c r="B144">
        <v>153</v>
      </c>
      <c r="C144" t="s">
        <v>16</v>
      </c>
      <c r="D144" t="s">
        <v>17</v>
      </c>
      <c r="E144" t="s">
        <v>18</v>
      </c>
      <c r="F144" t="s">
        <v>19</v>
      </c>
      <c r="G144" t="s">
        <v>61</v>
      </c>
      <c r="H144" t="s">
        <v>21</v>
      </c>
      <c r="I144" t="s">
        <v>24</v>
      </c>
      <c r="J144" t="s">
        <v>23</v>
      </c>
      <c r="K144">
        <v>385</v>
      </c>
      <c r="L144">
        <v>21.2415935</v>
      </c>
      <c r="M144">
        <v>69.704490945002561</v>
      </c>
      <c r="N144">
        <v>-0.5466077963560102</v>
      </c>
      <c r="O144" s="1" t="str">
        <f>HYPERLINK(".\sm_car_210306_0055\sm_car_210306_0055_143_Ca153TrN_MaLSS_ode23t.png","figure")</f>
        <v>figure</v>
      </c>
      <c r="P144" t="s">
        <v>15</v>
      </c>
    </row>
    <row r="145" spans="1:16" x14ac:dyDescent="0.25">
      <c r="A145">
        <v>144</v>
      </c>
      <c r="B145">
        <v>154</v>
      </c>
      <c r="C145" t="s">
        <v>16</v>
      </c>
      <c r="D145" t="s">
        <v>17</v>
      </c>
      <c r="E145" t="s">
        <v>18</v>
      </c>
      <c r="F145" t="s">
        <v>19</v>
      </c>
      <c r="G145" t="s">
        <v>61</v>
      </c>
      <c r="H145" t="s">
        <v>21</v>
      </c>
      <c r="I145" t="s">
        <v>24</v>
      </c>
      <c r="J145" t="s">
        <v>23</v>
      </c>
      <c r="K145">
        <v>362</v>
      </c>
      <c r="L145">
        <v>25.957849</v>
      </c>
      <c r="M145">
        <v>69.804327705389071</v>
      </c>
      <c r="N145">
        <v>-0.21735088121975876</v>
      </c>
      <c r="O145" s="1" t="str">
        <f>HYPERLINK(".\sm_car_210306_0055\sm_car_210306_0055_144_Ca154TrN_MaLSS_ode23t.png","figure")</f>
        <v>figure</v>
      </c>
      <c r="P145" t="s">
        <v>15</v>
      </c>
    </row>
    <row r="146" spans="1:16" x14ac:dyDescent="0.25">
      <c r="A146">
        <v>145</v>
      </c>
      <c r="B146">
        <v>155</v>
      </c>
      <c r="C146" t="s">
        <v>16</v>
      </c>
      <c r="D146" t="s">
        <v>17</v>
      </c>
      <c r="E146" t="s">
        <v>18</v>
      </c>
      <c r="F146" t="s">
        <v>19</v>
      </c>
      <c r="G146" t="s">
        <v>62</v>
      </c>
      <c r="H146" t="s">
        <v>21</v>
      </c>
      <c r="I146" t="s">
        <v>24</v>
      </c>
      <c r="J146" t="s">
        <v>23</v>
      </c>
      <c r="K146">
        <v>392</v>
      </c>
      <c r="L146">
        <v>26.9705324</v>
      </c>
      <c r="M146">
        <v>69.71812492206783</v>
      </c>
      <c r="N146">
        <v>-0.55683374923038931</v>
      </c>
      <c r="O146" s="1" t="str">
        <f>HYPERLINK(".\sm_car_210306_0055\sm_car_210306_0055_145_Ca155TrN_MaLSS_ode23t.png","figure")</f>
        <v>figure</v>
      </c>
      <c r="P146" t="s">
        <v>15</v>
      </c>
    </row>
    <row r="147" spans="1:16" x14ac:dyDescent="0.25">
      <c r="A147">
        <v>146</v>
      </c>
      <c r="B147">
        <v>4</v>
      </c>
      <c r="C147" t="s">
        <v>16</v>
      </c>
      <c r="D147" t="s">
        <v>17</v>
      </c>
      <c r="E147" t="s">
        <v>18</v>
      </c>
      <c r="F147" t="s">
        <v>28</v>
      </c>
      <c r="G147" t="s">
        <v>20</v>
      </c>
      <c r="H147" t="s">
        <v>21</v>
      </c>
      <c r="I147" t="s">
        <v>22</v>
      </c>
      <c r="J147" t="s">
        <v>63</v>
      </c>
      <c r="K147">
        <v>3289</v>
      </c>
      <c r="L147">
        <v>14.901248199999999</v>
      </c>
      <c r="M147">
        <v>226.84671877743719</v>
      </c>
      <c r="N147">
        <v>0.11243390010932522</v>
      </c>
      <c r="O147" s="1" t="str">
        <f>HYPERLINK(".\sm_car_210306_0055\sm_car_210306_0055_146_Ca004TrN_MaWOT_ode3.png","figure")</f>
        <v>figure</v>
      </c>
      <c r="P147" t="s">
        <v>15</v>
      </c>
    </row>
    <row r="148" spans="1:16" x14ac:dyDescent="0.25">
      <c r="A148">
        <v>147</v>
      </c>
      <c r="B148">
        <v>4</v>
      </c>
      <c r="C148" t="s">
        <v>16</v>
      </c>
      <c r="D148" t="s">
        <v>17</v>
      </c>
      <c r="E148" t="s">
        <v>18</v>
      </c>
      <c r="F148" t="s">
        <v>28</v>
      </c>
      <c r="G148" t="s">
        <v>20</v>
      </c>
      <c r="H148" t="s">
        <v>21</v>
      </c>
      <c r="I148" t="s">
        <v>24</v>
      </c>
      <c r="J148" t="s">
        <v>63</v>
      </c>
      <c r="K148">
        <v>2603</v>
      </c>
      <c r="L148">
        <v>12.129520599999999</v>
      </c>
      <c r="M148">
        <v>70.082143792945786</v>
      </c>
      <c r="N148">
        <v>-0.33781405329651926</v>
      </c>
      <c r="O148" s="1" t="str">
        <f>HYPERLINK(".\sm_car_210306_0055\sm_car_210306_0055_147_Ca004TrN_MaLSS_ode3.png","figure")</f>
        <v>figure</v>
      </c>
      <c r="P148" t="s">
        <v>15</v>
      </c>
    </row>
    <row r="149" spans="1:16" x14ac:dyDescent="0.25">
      <c r="A149">
        <v>148</v>
      </c>
      <c r="B149">
        <v>4</v>
      </c>
      <c r="C149" t="s">
        <v>16</v>
      </c>
      <c r="D149" t="s">
        <v>17</v>
      </c>
      <c r="E149" t="s">
        <v>18</v>
      </c>
      <c r="F149" t="s">
        <v>28</v>
      </c>
      <c r="G149" t="s">
        <v>20</v>
      </c>
      <c r="H149" t="s">
        <v>21</v>
      </c>
      <c r="I149" t="s">
        <v>64</v>
      </c>
      <c r="J149" t="s">
        <v>63</v>
      </c>
      <c r="K149">
        <v>2601</v>
      </c>
      <c r="L149">
        <v>12.622555</v>
      </c>
      <c r="M149">
        <v>65.953539536765817</v>
      </c>
      <c r="N149">
        <v>-18.746727747155038</v>
      </c>
      <c r="O149" s="1" t="str">
        <f>HYPERLINK(".\sm_car_210306_0055\sm_car_210306_0055_148_Ca004TrN_MaTUR_ode3.png","figure")</f>
        <v>figure</v>
      </c>
      <c r="P149" t="s">
        <v>15</v>
      </c>
    </row>
    <row r="150" spans="1:16" x14ac:dyDescent="0.25">
      <c r="A150">
        <v>149</v>
      </c>
      <c r="B150">
        <v>116</v>
      </c>
      <c r="C150" t="s">
        <v>16</v>
      </c>
      <c r="D150" t="s">
        <v>35</v>
      </c>
      <c r="E150" t="s">
        <v>18</v>
      </c>
      <c r="F150" t="s">
        <v>28</v>
      </c>
      <c r="G150" t="s">
        <v>20</v>
      </c>
      <c r="H150" t="s">
        <v>21</v>
      </c>
      <c r="I150" t="s">
        <v>22</v>
      </c>
      <c r="J150" t="s">
        <v>63</v>
      </c>
      <c r="K150">
        <v>3288</v>
      </c>
      <c r="L150">
        <v>6.8347680000000004</v>
      </c>
      <c r="M150">
        <v>235.92324900351383</v>
      </c>
      <c r="N150">
        <v>0.21748348147822319</v>
      </c>
      <c r="O150" s="1" t="str">
        <f>HYPERLINK(".\sm_car_210306_0055\sm_car_210306_0055_149_Ca116TrN_MaWOT_ode3.png","figure")</f>
        <v>figure</v>
      </c>
      <c r="P150" t="s">
        <v>15</v>
      </c>
    </row>
    <row r="151" spans="1:16" x14ac:dyDescent="0.25">
      <c r="A151">
        <v>150</v>
      </c>
      <c r="B151">
        <v>116</v>
      </c>
      <c r="C151" t="s">
        <v>16</v>
      </c>
      <c r="D151" t="s">
        <v>35</v>
      </c>
      <c r="E151" t="s">
        <v>18</v>
      </c>
      <c r="F151" t="s">
        <v>28</v>
      </c>
      <c r="G151" t="s">
        <v>20</v>
      </c>
      <c r="H151" t="s">
        <v>21</v>
      </c>
      <c r="I151" t="s">
        <v>24</v>
      </c>
      <c r="J151" t="s">
        <v>63</v>
      </c>
      <c r="K151">
        <v>2603</v>
      </c>
      <c r="L151">
        <v>5.4494767</v>
      </c>
      <c r="M151">
        <v>72.832917098579301</v>
      </c>
      <c r="N151">
        <v>-0.29476560043705652</v>
      </c>
      <c r="O151" s="1" t="str">
        <f>HYPERLINK(".\sm_car_210306_0055\sm_car_210306_0055_150_Ca116TrN_MaLSS_ode3.png","figure")</f>
        <v>figure</v>
      </c>
      <c r="P151" t="s">
        <v>15</v>
      </c>
    </row>
    <row r="152" spans="1:16" x14ac:dyDescent="0.25">
      <c r="A152">
        <v>151</v>
      </c>
      <c r="B152">
        <v>116</v>
      </c>
      <c r="C152" t="s">
        <v>16</v>
      </c>
      <c r="D152" t="s">
        <v>35</v>
      </c>
      <c r="E152" t="s">
        <v>18</v>
      </c>
      <c r="F152" t="s">
        <v>28</v>
      </c>
      <c r="G152" t="s">
        <v>20</v>
      </c>
      <c r="H152" t="s">
        <v>21</v>
      </c>
      <c r="I152" t="s">
        <v>64</v>
      </c>
      <c r="J152" t="s">
        <v>63</v>
      </c>
      <c r="K152">
        <v>2602</v>
      </c>
      <c r="L152">
        <v>5.3923117999999999</v>
      </c>
      <c r="M152">
        <v>69.819517321295095</v>
      </c>
      <c r="N152">
        <v>-16.439568658678116</v>
      </c>
      <c r="O152" s="1" t="str">
        <f>HYPERLINK(".\sm_car_210306_0055\sm_car_210306_0055_151_Ca116TrN_MaTUR_ode3.png","figure")</f>
        <v>figure</v>
      </c>
      <c r="P152" t="s">
        <v>15</v>
      </c>
    </row>
    <row r="153" spans="1:16" x14ac:dyDescent="0.25">
      <c r="A153">
        <v>152</v>
      </c>
      <c r="B153">
        <v>124</v>
      </c>
      <c r="C153" t="s">
        <v>16</v>
      </c>
      <c r="D153" t="s">
        <v>35</v>
      </c>
      <c r="E153" t="s">
        <v>49</v>
      </c>
      <c r="F153" t="s">
        <v>28</v>
      </c>
      <c r="G153" t="s">
        <v>20</v>
      </c>
      <c r="H153" t="s">
        <v>21</v>
      </c>
      <c r="I153" t="s">
        <v>22</v>
      </c>
      <c r="J153" t="s">
        <v>63</v>
      </c>
      <c r="K153">
        <v>3278</v>
      </c>
      <c r="L153">
        <v>4.3449603000000003</v>
      </c>
      <c r="M153">
        <v>248.44747862187873</v>
      </c>
      <c r="N153">
        <v>0.24283772507818485</v>
      </c>
      <c r="O153" s="1" t="str">
        <f>HYPERLINK(".\sm_car_210306_0055\sm_car_210306_0055_152_Ca124TrN_MaWOT_ode3.png","figure")</f>
        <v>figure</v>
      </c>
      <c r="P153" t="s">
        <v>15</v>
      </c>
    </row>
    <row r="154" spans="1:16" x14ac:dyDescent="0.25">
      <c r="A154">
        <v>153</v>
      </c>
      <c r="B154">
        <v>124</v>
      </c>
      <c r="C154" t="s">
        <v>16</v>
      </c>
      <c r="D154" t="s">
        <v>35</v>
      </c>
      <c r="E154" t="s">
        <v>49</v>
      </c>
      <c r="F154" t="s">
        <v>28</v>
      </c>
      <c r="G154" t="s">
        <v>20</v>
      </c>
      <c r="H154" t="s">
        <v>21</v>
      </c>
      <c r="I154" t="s">
        <v>24</v>
      </c>
      <c r="J154" t="s">
        <v>63</v>
      </c>
      <c r="K154">
        <v>2599</v>
      </c>
      <c r="L154">
        <v>3.5571619999999999</v>
      </c>
      <c r="M154">
        <v>76.615287553981787</v>
      </c>
      <c r="N154">
        <v>-0.34588949606991787</v>
      </c>
      <c r="O154" s="1" t="str">
        <f>HYPERLINK(".\sm_car_210306_0055\sm_car_210306_0055_153_Ca124TrN_MaLSS_ode3.png","figure")</f>
        <v>figure</v>
      </c>
      <c r="P154" t="s">
        <v>15</v>
      </c>
    </row>
    <row r="155" spans="1:16" x14ac:dyDescent="0.25">
      <c r="A155">
        <v>154</v>
      </c>
      <c r="B155">
        <v>124</v>
      </c>
      <c r="C155" t="s">
        <v>16</v>
      </c>
      <c r="D155" t="s">
        <v>35</v>
      </c>
      <c r="E155" t="s">
        <v>49</v>
      </c>
      <c r="F155" t="s">
        <v>28</v>
      </c>
      <c r="G155" t="s">
        <v>20</v>
      </c>
      <c r="H155" t="s">
        <v>21</v>
      </c>
      <c r="I155" t="s">
        <v>64</v>
      </c>
      <c r="J155" t="s">
        <v>63</v>
      </c>
      <c r="K155">
        <v>2598</v>
      </c>
      <c r="L155">
        <v>3.5459572000000001</v>
      </c>
      <c r="M155">
        <v>73.14202486382149</v>
      </c>
      <c r="N155">
        <v>-18.055395288531233</v>
      </c>
      <c r="O155" s="1" t="str">
        <f>HYPERLINK(".\sm_car_210306_0055\sm_car_210306_0055_154_Ca124TrN_MaTUR_ode3.png","figure")</f>
        <v>figure</v>
      </c>
      <c r="P155" t="s">
        <v>15</v>
      </c>
    </row>
    <row r="156" spans="1:16" x14ac:dyDescent="0.25">
      <c r="A156">
        <v>155</v>
      </c>
      <c r="B156">
        <v>141</v>
      </c>
      <c r="C156" t="s">
        <v>45</v>
      </c>
      <c r="D156" t="s">
        <v>17</v>
      </c>
      <c r="E156" t="s">
        <v>18</v>
      </c>
      <c r="F156" t="s">
        <v>28</v>
      </c>
      <c r="G156" t="s">
        <v>26</v>
      </c>
      <c r="H156" t="s">
        <v>21</v>
      </c>
      <c r="I156" t="s">
        <v>22</v>
      </c>
      <c r="J156" t="s">
        <v>63</v>
      </c>
      <c r="K156">
        <v>3923</v>
      </c>
      <c r="L156">
        <v>26.2860181</v>
      </c>
      <c r="M156">
        <v>329.5052523998429</v>
      </c>
      <c r="N156">
        <v>8.9057356917261285E-2</v>
      </c>
      <c r="O156" s="1" t="str">
        <f>HYPERLINK(".\sm_car_210306_0055\sm_car_210306_0055_155_Ca141TrN_MaWOT_ode3.png","figure")</f>
        <v>figure</v>
      </c>
      <c r="P156" t="s">
        <v>15</v>
      </c>
    </row>
    <row r="157" spans="1:16" x14ac:dyDescent="0.25">
      <c r="A157">
        <v>156</v>
      </c>
      <c r="B157">
        <v>141</v>
      </c>
      <c r="C157" t="s">
        <v>45</v>
      </c>
      <c r="D157" t="s">
        <v>17</v>
      </c>
      <c r="E157" t="s">
        <v>18</v>
      </c>
      <c r="F157" t="s">
        <v>28</v>
      </c>
      <c r="G157" t="s">
        <v>26</v>
      </c>
      <c r="H157" t="s">
        <v>21</v>
      </c>
      <c r="I157" t="s">
        <v>24</v>
      </c>
      <c r="J157" t="s">
        <v>63</v>
      </c>
      <c r="K157">
        <v>3255</v>
      </c>
      <c r="L157">
        <v>22.561335499999998</v>
      </c>
      <c r="M157">
        <v>126.09073596770295</v>
      </c>
      <c r="N157">
        <v>-0.61027158578942242</v>
      </c>
      <c r="O157" s="1" t="str">
        <f>HYPERLINK(".\sm_car_210306_0055\sm_car_210306_0055_156_Ca141TrN_MaLSS_ode3.png","figure")</f>
        <v>figure</v>
      </c>
      <c r="P157" t="s">
        <v>15</v>
      </c>
    </row>
    <row r="158" spans="1:16" x14ac:dyDescent="0.25">
      <c r="A158">
        <v>157</v>
      </c>
      <c r="B158">
        <v>141</v>
      </c>
      <c r="C158" t="s">
        <v>45</v>
      </c>
      <c r="D158" t="s">
        <v>17</v>
      </c>
      <c r="E158" t="s">
        <v>18</v>
      </c>
      <c r="F158" t="s">
        <v>28</v>
      </c>
      <c r="G158" t="s">
        <v>26</v>
      </c>
      <c r="H158" t="s">
        <v>21</v>
      </c>
      <c r="I158" t="s">
        <v>64</v>
      </c>
      <c r="J158" t="s">
        <v>63</v>
      </c>
      <c r="K158">
        <v>3236</v>
      </c>
      <c r="L158">
        <v>21.461434100000002</v>
      </c>
      <c r="M158">
        <v>89.300739652570016</v>
      </c>
      <c r="N158">
        <v>-66.458701824075447</v>
      </c>
      <c r="O158" s="1" t="str">
        <f>HYPERLINK(".\sm_car_210306_0055\sm_car_210306_0055_157_Ca141TrN_MaTUR_ode3.png","figure")</f>
        <v>figure</v>
      </c>
      <c r="P158" t="s">
        <v>15</v>
      </c>
    </row>
    <row r="159" spans="1:16" x14ac:dyDescent="0.25">
      <c r="A159">
        <v>158</v>
      </c>
      <c r="B159">
        <v>143</v>
      </c>
      <c r="C159" t="s">
        <v>46</v>
      </c>
      <c r="D159" t="s">
        <v>17</v>
      </c>
      <c r="E159" t="s">
        <v>47</v>
      </c>
      <c r="F159" t="s">
        <v>19</v>
      </c>
      <c r="G159" t="s">
        <v>26</v>
      </c>
      <c r="H159" t="s">
        <v>21</v>
      </c>
      <c r="I159" t="s">
        <v>22</v>
      </c>
      <c r="J159" t="s">
        <v>63</v>
      </c>
      <c r="K159">
        <v>3170</v>
      </c>
      <c r="L159">
        <v>29.556169400000002</v>
      </c>
      <c r="M159">
        <v>161.24442414552888</v>
      </c>
      <c r="N159">
        <v>-6.0671257429926921</v>
      </c>
      <c r="O159" s="1" t="str">
        <f>HYPERLINK(".\sm_car_210306_0055\sm_car_210306_0055_158_Ca143TrN_MaWOT_ode3.png","figure")</f>
        <v>figure</v>
      </c>
      <c r="P159" t="s">
        <v>15</v>
      </c>
    </row>
    <row r="160" spans="1:16" x14ac:dyDescent="0.25">
      <c r="A160">
        <v>159</v>
      </c>
      <c r="B160">
        <v>143</v>
      </c>
      <c r="C160" t="s">
        <v>46</v>
      </c>
      <c r="D160" t="s">
        <v>17</v>
      </c>
      <c r="E160" t="s">
        <v>47</v>
      </c>
      <c r="F160" t="s">
        <v>19</v>
      </c>
      <c r="G160" t="s">
        <v>26</v>
      </c>
      <c r="H160" t="s">
        <v>21</v>
      </c>
      <c r="I160" t="s">
        <v>24</v>
      </c>
      <c r="J160" t="s">
        <v>63</v>
      </c>
      <c r="K160">
        <v>2513</v>
      </c>
      <c r="L160">
        <v>24.534982599999999</v>
      </c>
      <c r="M160">
        <v>43.753092071805277</v>
      </c>
      <c r="N160">
        <v>-0.4552137113990492</v>
      </c>
      <c r="O160" s="1" t="str">
        <f>HYPERLINK(".\sm_car_210306_0055\sm_car_210306_0055_159_Ca143TrN_MaLSS_ode3.png","figure")</f>
        <v>figure</v>
      </c>
      <c r="P160" t="s">
        <v>15</v>
      </c>
    </row>
    <row r="161" spans="1:16" x14ac:dyDescent="0.25">
      <c r="A161">
        <v>160</v>
      </c>
      <c r="B161">
        <v>143</v>
      </c>
      <c r="C161" t="s">
        <v>46</v>
      </c>
      <c r="D161" t="s">
        <v>17</v>
      </c>
      <c r="E161" t="s">
        <v>47</v>
      </c>
      <c r="F161" t="s">
        <v>19</v>
      </c>
      <c r="G161" t="s">
        <v>26</v>
      </c>
      <c r="H161" t="s">
        <v>21</v>
      </c>
      <c r="I161" t="s">
        <v>64</v>
      </c>
      <c r="J161" t="s">
        <v>63</v>
      </c>
      <c r="K161">
        <v>2516</v>
      </c>
      <c r="L161">
        <v>24.296750599999999</v>
      </c>
      <c r="M161">
        <v>43.207617877972602</v>
      </c>
      <c r="N161">
        <v>-5.5586319863045679</v>
      </c>
      <c r="O161" s="1" t="str">
        <f>HYPERLINK(".\sm_car_210306_0055\sm_car_210306_0055_160_Ca143TrN_MaTUR_ode3.png","figure")</f>
        <v>figure</v>
      </c>
      <c r="P161" t="s">
        <v>15</v>
      </c>
    </row>
    <row r="162" spans="1:16" x14ac:dyDescent="0.25">
      <c r="A162">
        <v>161</v>
      </c>
      <c r="B162">
        <v>139</v>
      </c>
      <c r="C162" t="s">
        <v>45</v>
      </c>
      <c r="D162" t="s">
        <v>17</v>
      </c>
      <c r="E162" t="s">
        <v>18</v>
      </c>
      <c r="F162" t="s">
        <v>19</v>
      </c>
      <c r="G162" t="s">
        <v>26</v>
      </c>
      <c r="H162" t="s">
        <v>21</v>
      </c>
      <c r="I162" t="s">
        <v>53</v>
      </c>
      <c r="J162" t="s">
        <v>23</v>
      </c>
      <c r="K162">
        <v>720</v>
      </c>
      <c r="L162">
        <v>20.846209099999999</v>
      </c>
      <c r="M162">
        <v>313.43666451696708</v>
      </c>
      <c r="N162">
        <v>-2.4128734874295787E-4</v>
      </c>
      <c r="O162" s="1" t="str">
        <f>HYPERLINK(".\sm_car_210306_0055\sm_car_210306_0055_161_Ca139TrN_MaDLC_ode23t.png","figure")</f>
        <v>figure</v>
      </c>
      <c r="P162" t="s">
        <v>15</v>
      </c>
    </row>
    <row r="163" spans="1:16" x14ac:dyDescent="0.25">
      <c r="A163">
        <v>162</v>
      </c>
      <c r="B163">
        <v>139</v>
      </c>
      <c r="C163" t="s">
        <v>45</v>
      </c>
      <c r="D163" t="s">
        <v>17</v>
      </c>
      <c r="E163" t="s">
        <v>18</v>
      </c>
      <c r="F163" t="s">
        <v>19</v>
      </c>
      <c r="G163" t="s">
        <v>26</v>
      </c>
      <c r="H163" t="s">
        <v>65</v>
      </c>
      <c r="I163" t="s">
        <v>53</v>
      </c>
      <c r="J163" t="s">
        <v>23</v>
      </c>
      <c r="K163">
        <v>1926</v>
      </c>
      <c r="L163">
        <v>109.2542519</v>
      </c>
      <c r="M163">
        <v>255.38042650595736</v>
      </c>
      <c r="N163">
        <v>-0.25649399265165096</v>
      </c>
      <c r="O163" s="1" t="str">
        <f>HYPERLINK(".\sm_car_210306_0055\sm_car_210306_0055_162_Ca139TrE_MaDLC_ode23t.png","figure")</f>
        <v>figure</v>
      </c>
      <c r="P163" t="s">
        <v>15</v>
      </c>
    </row>
    <row r="164" spans="1:16" x14ac:dyDescent="0.25">
      <c r="A164">
        <v>163</v>
      </c>
      <c r="B164">
        <v>139</v>
      </c>
      <c r="C164" t="s">
        <v>45</v>
      </c>
      <c r="D164" t="s">
        <v>17</v>
      </c>
      <c r="E164" t="s">
        <v>18</v>
      </c>
      <c r="F164" t="s">
        <v>19</v>
      </c>
      <c r="G164" t="s">
        <v>26</v>
      </c>
      <c r="H164" t="s">
        <v>66</v>
      </c>
      <c r="I164" t="s">
        <v>53</v>
      </c>
      <c r="J164" t="s">
        <v>23</v>
      </c>
      <c r="K164">
        <v>1047</v>
      </c>
      <c r="L164">
        <v>49.047672300000002</v>
      </c>
      <c r="M164">
        <v>312.67324132122701</v>
      </c>
      <c r="N164">
        <v>-2.3606688201249781E-4</v>
      </c>
      <c r="O164" s="1" t="str">
        <f>HYPERLINK(".\sm_car_210306_0055\sm_car_210306_0055_163_Ca139TrT_MaDLC_ode23t.png","figure")</f>
        <v>figure</v>
      </c>
      <c r="P164" t="s">
        <v>15</v>
      </c>
    </row>
    <row r="165" spans="1:16" x14ac:dyDescent="0.25">
      <c r="A165">
        <v>164</v>
      </c>
      <c r="B165">
        <v>2</v>
      </c>
      <c r="C165" t="s">
        <v>16</v>
      </c>
      <c r="D165" t="s">
        <v>17</v>
      </c>
      <c r="E165" t="s">
        <v>18</v>
      </c>
      <c r="F165" t="s">
        <v>19</v>
      </c>
      <c r="G165" t="s">
        <v>26</v>
      </c>
      <c r="H165" t="s">
        <v>21</v>
      </c>
      <c r="I165" t="s">
        <v>53</v>
      </c>
      <c r="J165" t="s">
        <v>23</v>
      </c>
      <c r="K165">
        <v>621</v>
      </c>
      <c r="L165">
        <v>22.289952199999998</v>
      </c>
      <c r="M165">
        <v>310.96659832179125</v>
      </c>
      <c r="N165">
        <v>1.6475346909405886E-5</v>
      </c>
      <c r="O165" s="1" t="str">
        <f>HYPERLINK(".\sm_car_210306_0055\sm_car_210306_0055_164_Ca002TrN_MaDLC_ode23t.png","figure")</f>
        <v>figure</v>
      </c>
      <c r="P165" t="s">
        <v>15</v>
      </c>
    </row>
    <row r="166" spans="1:16" x14ac:dyDescent="0.25">
      <c r="A166">
        <v>165</v>
      </c>
      <c r="B166">
        <v>2</v>
      </c>
      <c r="C166" t="s">
        <v>16</v>
      </c>
      <c r="D166" t="s">
        <v>17</v>
      </c>
      <c r="E166" t="s">
        <v>18</v>
      </c>
      <c r="F166" t="s">
        <v>19</v>
      </c>
      <c r="G166" t="s">
        <v>26</v>
      </c>
      <c r="H166" t="s">
        <v>65</v>
      </c>
      <c r="I166" t="s">
        <v>53</v>
      </c>
      <c r="J166" t="s">
        <v>23</v>
      </c>
      <c r="K166">
        <v>1112</v>
      </c>
      <c r="L166">
        <v>82.126286199999996</v>
      </c>
      <c r="M166">
        <v>308.69263668270139</v>
      </c>
      <c r="N166">
        <v>2.6963996593776685E-2</v>
      </c>
      <c r="O166" s="1" t="str">
        <f>HYPERLINK(".\sm_car_210306_0055\sm_car_210306_0055_165_Ca002TrE_MaDLC_ode23t.png","figure")</f>
        <v>figure</v>
      </c>
      <c r="P166" t="s">
        <v>15</v>
      </c>
    </row>
    <row r="167" spans="1:16" x14ac:dyDescent="0.25">
      <c r="A167">
        <v>166</v>
      </c>
      <c r="B167">
        <v>2</v>
      </c>
      <c r="C167" t="s">
        <v>16</v>
      </c>
      <c r="D167" t="s">
        <v>17</v>
      </c>
      <c r="E167" t="s">
        <v>18</v>
      </c>
      <c r="F167" t="s">
        <v>19</v>
      </c>
      <c r="G167" t="s">
        <v>26</v>
      </c>
      <c r="H167" t="s">
        <v>66</v>
      </c>
      <c r="I167" t="s">
        <v>53</v>
      </c>
      <c r="J167" t="s">
        <v>23</v>
      </c>
      <c r="K167">
        <v>874</v>
      </c>
      <c r="L167">
        <v>39.696520399999997</v>
      </c>
      <c r="M167">
        <v>310.39358517295352</v>
      </c>
      <c r="N167">
        <v>2.071781948487228E-5</v>
      </c>
      <c r="O167" s="1" t="str">
        <f>HYPERLINK(".\sm_car_210306_0055\sm_car_210306_0055_166_Ca002TrT_MaDLC_ode23t.png","figure")</f>
        <v>figure</v>
      </c>
      <c r="P167" t="s">
        <v>15</v>
      </c>
    </row>
    <row r="168" spans="1:16" x14ac:dyDescent="0.25">
      <c r="A168">
        <v>167</v>
      </c>
      <c r="B168">
        <v>143</v>
      </c>
      <c r="C168" t="s">
        <v>46</v>
      </c>
      <c r="D168" t="s">
        <v>17</v>
      </c>
      <c r="E168" t="s">
        <v>47</v>
      </c>
      <c r="F168" t="s">
        <v>19</v>
      </c>
      <c r="G168" t="s">
        <v>26</v>
      </c>
      <c r="H168" t="s">
        <v>21</v>
      </c>
      <c r="I168" t="s">
        <v>53</v>
      </c>
      <c r="J168" t="s">
        <v>23</v>
      </c>
      <c r="K168">
        <v>1194</v>
      </c>
      <c r="L168">
        <v>41.435576900000001</v>
      </c>
      <c r="M168">
        <v>305.64812847806132</v>
      </c>
      <c r="N168">
        <v>-1.2426691041544924E-2</v>
      </c>
      <c r="O168" s="1" t="str">
        <f>HYPERLINK(".\sm_car_210306_0055\sm_car_210306_0055_167_Ca143TrN_MaDLC_ode23t.png","figure")</f>
        <v>figure</v>
      </c>
      <c r="P168" t="s">
        <v>15</v>
      </c>
    </row>
    <row r="169" spans="1:16" x14ac:dyDescent="0.25">
      <c r="A169">
        <v>168</v>
      </c>
      <c r="B169">
        <v>143</v>
      </c>
      <c r="C169" t="s">
        <v>46</v>
      </c>
      <c r="D169" t="s">
        <v>17</v>
      </c>
      <c r="E169" t="s">
        <v>47</v>
      </c>
      <c r="F169" t="s">
        <v>19</v>
      </c>
      <c r="G169" t="s">
        <v>26</v>
      </c>
      <c r="H169" t="s">
        <v>65</v>
      </c>
      <c r="I169" t="s">
        <v>53</v>
      </c>
      <c r="J169" t="s">
        <v>23</v>
      </c>
      <c r="K169">
        <v>1434</v>
      </c>
      <c r="L169">
        <v>71.3316643</v>
      </c>
      <c r="M169">
        <v>304.32300427495716</v>
      </c>
      <c r="N169">
        <v>-1.1502632931173373E-2</v>
      </c>
      <c r="O169" s="1" t="str">
        <f>HYPERLINK(".\sm_car_210306_0055\sm_car_210306_0055_168_Ca143TrE_MaDLC_ode23t.png","figure")</f>
        <v>figure</v>
      </c>
      <c r="P169" t="s">
        <v>15</v>
      </c>
    </row>
    <row r="170" spans="1:16" x14ac:dyDescent="0.25">
      <c r="A170">
        <v>169</v>
      </c>
      <c r="B170">
        <v>143</v>
      </c>
      <c r="C170" t="s">
        <v>46</v>
      </c>
      <c r="D170" t="s">
        <v>17</v>
      </c>
      <c r="E170" t="s">
        <v>47</v>
      </c>
      <c r="F170" t="s">
        <v>19</v>
      </c>
      <c r="G170" t="s">
        <v>26</v>
      </c>
      <c r="H170" t="s">
        <v>66</v>
      </c>
      <c r="I170" t="s">
        <v>53</v>
      </c>
      <c r="J170" t="s">
        <v>23</v>
      </c>
      <c r="K170">
        <v>1212</v>
      </c>
      <c r="L170">
        <v>52.731271700000001</v>
      </c>
      <c r="M170">
        <v>305.10213115355714</v>
      </c>
      <c r="N170">
        <v>-1.2317436985476604E-2</v>
      </c>
      <c r="O170" s="1" t="str">
        <f>HYPERLINK(".\sm_car_210306_0055\sm_car_210306_0055_169_Ca143TrT_MaDLC_ode23t.png","figure")</f>
        <v>figure</v>
      </c>
      <c r="P170" t="s">
        <v>15</v>
      </c>
    </row>
    <row r="171" spans="1:16" x14ac:dyDescent="0.25">
      <c r="A171">
        <v>170</v>
      </c>
      <c r="B171">
        <v>139</v>
      </c>
      <c r="C171" t="s">
        <v>45</v>
      </c>
      <c r="D171" t="s">
        <v>17</v>
      </c>
      <c r="E171" t="s">
        <v>18</v>
      </c>
      <c r="F171" t="s">
        <v>19</v>
      </c>
      <c r="G171" t="s">
        <v>26</v>
      </c>
      <c r="H171" t="s">
        <v>65</v>
      </c>
      <c r="I171" t="s">
        <v>67</v>
      </c>
      <c r="J171" t="s">
        <v>23</v>
      </c>
      <c r="K171">
        <v>614</v>
      </c>
      <c r="L171">
        <v>24.565099799999999</v>
      </c>
      <c r="M171">
        <v>251.93843052041353</v>
      </c>
      <c r="N171">
        <v>-3.2265668589870344E-4</v>
      </c>
      <c r="O171" s="1" t="str">
        <f>HYPERLINK(".\sm_car_210306_0055\sm_car_210306_0055_170_Ca139TrE_MaTRD_ode23t.png","figure")</f>
        <v>figure</v>
      </c>
      <c r="P171" t="s">
        <v>15</v>
      </c>
    </row>
    <row r="172" spans="1:16" x14ac:dyDescent="0.25">
      <c r="A172">
        <v>171</v>
      </c>
      <c r="B172">
        <v>139</v>
      </c>
      <c r="C172" t="s">
        <v>45</v>
      </c>
      <c r="D172" t="s">
        <v>17</v>
      </c>
      <c r="E172" t="s">
        <v>18</v>
      </c>
      <c r="F172" t="s">
        <v>19</v>
      </c>
      <c r="G172" t="s">
        <v>26</v>
      </c>
      <c r="H172" t="s">
        <v>65</v>
      </c>
      <c r="I172" t="s">
        <v>67</v>
      </c>
      <c r="J172" t="s">
        <v>23</v>
      </c>
      <c r="K172">
        <v>666</v>
      </c>
      <c r="L172">
        <v>24.811960899999999</v>
      </c>
      <c r="M172">
        <v>252.16320359138467</v>
      </c>
      <c r="N172">
        <v>-2.3100759077498978E-3</v>
      </c>
      <c r="O172" s="1" t="str">
        <f>HYPERLINK(".\sm_car_210306_0055\sm_car_210306_0055_171_Ca139TrU_MaTRD_ode23t.png","figure")</f>
        <v>figure</v>
      </c>
      <c r="P172" t="s">
        <v>15</v>
      </c>
    </row>
    <row r="173" spans="1:16" x14ac:dyDescent="0.25">
      <c r="A173">
        <v>172</v>
      </c>
      <c r="B173">
        <v>149</v>
      </c>
      <c r="C173" t="s">
        <v>46</v>
      </c>
      <c r="D173" t="s">
        <v>17</v>
      </c>
      <c r="E173" t="s">
        <v>68</v>
      </c>
      <c r="F173" t="s">
        <v>19</v>
      </c>
      <c r="G173" t="s">
        <v>26</v>
      </c>
      <c r="H173" t="s">
        <v>21</v>
      </c>
      <c r="I173" t="s">
        <v>69</v>
      </c>
      <c r="J173" t="s">
        <v>23</v>
      </c>
      <c r="K173">
        <v>2293</v>
      </c>
      <c r="L173">
        <v>38.608784700000001</v>
      </c>
      <c r="M173">
        <v>-6.2624285550963953E-4</v>
      </c>
      <c r="N173">
        <v>-1.2290263808758663E-3</v>
      </c>
      <c r="O173" s="1" t="str">
        <f>HYPERLINK(".\sm_car_210306_0055\sm_car_210306_0055_172_Ca149TrN_MaPST_ode23t.png","figure")</f>
        <v>figure</v>
      </c>
      <c r="P173" t="s">
        <v>15</v>
      </c>
    </row>
    <row r="174" spans="1:16" x14ac:dyDescent="0.25">
      <c r="A174">
        <v>173</v>
      </c>
      <c r="B174">
        <v>139</v>
      </c>
      <c r="C174" t="s">
        <v>45</v>
      </c>
      <c r="D174" t="s">
        <v>17</v>
      </c>
      <c r="E174" t="s">
        <v>18</v>
      </c>
      <c r="F174" t="s">
        <v>19</v>
      </c>
      <c r="G174" t="s">
        <v>26</v>
      </c>
      <c r="H174" t="s">
        <v>21</v>
      </c>
      <c r="I174" t="s">
        <v>70</v>
      </c>
      <c r="J174" t="s">
        <v>23</v>
      </c>
      <c r="K174">
        <v>2408</v>
      </c>
      <c r="L174">
        <v>65.955923999999996</v>
      </c>
      <c r="M174">
        <v>30.60911604554358</v>
      </c>
      <c r="N174">
        <v>0.5814303508027856</v>
      </c>
      <c r="O174" s="1" t="str">
        <f>HYPERLINK(".\sm_car_210306_0055\sm_car_210306_0055_173_Ca139TrN_MaSKD_ode23t.png","figure")</f>
        <v>figure</v>
      </c>
      <c r="P174" t="s">
        <v>15</v>
      </c>
    </row>
    <row r="175" spans="1:16" x14ac:dyDescent="0.25">
      <c r="A175">
        <v>174</v>
      </c>
      <c r="B175">
        <v>139</v>
      </c>
      <c r="C175" t="s">
        <v>45</v>
      </c>
      <c r="D175" t="s">
        <v>17</v>
      </c>
      <c r="E175" t="s">
        <v>18</v>
      </c>
      <c r="F175" t="s">
        <v>19</v>
      </c>
      <c r="G175" t="s">
        <v>26</v>
      </c>
      <c r="H175" t="s">
        <v>21</v>
      </c>
      <c r="I175" t="s">
        <v>71</v>
      </c>
      <c r="J175" t="s">
        <v>23</v>
      </c>
      <c r="K175">
        <v>1274</v>
      </c>
      <c r="L175">
        <v>51.665818199999997</v>
      </c>
      <c r="M175">
        <v>5.2685795253573104</v>
      </c>
      <c r="N175">
        <v>28.296284272091643</v>
      </c>
      <c r="O175" s="1" t="str">
        <f>HYPERLINK(".\sm_car_210306_0055\sm_car_210306_0055_174_Ca139TrN_MaRAD_ode23t.png","figure")</f>
        <v>figure</v>
      </c>
      <c r="P175" t="s">
        <v>15</v>
      </c>
    </row>
    <row r="176" spans="1:16" x14ac:dyDescent="0.25">
      <c r="A176">
        <v>175</v>
      </c>
      <c r="B176">
        <v>156</v>
      </c>
      <c r="C176" t="s">
        <v>45</v>
      </c>
      <c r="D176" t="s">
        <v>17</v>
      </c>
      <c r="E176" t="s">
        <v>18</v>
      </c>
      <c r="F176" t="s">
        <v>19</v>
      </c>
      <c r="G176" t="s">
        <v>26</v>
      </c>
      <c r="H176" t="s">
        <v>21</v>
      </c>
      <c r="I176" t="s">
        <v>54</v>
      </c>
      <c r="J176" t="s">
        <v>23</v>
      </c>
      <c r="K176">
        <v>19363</v>
      </c>
      <c r="L176">
        <v>535.34316790000003</v>
      </c>
      <c r="M176">
        <v>13.304503413969108</v>
      </c>
      <c r="N176">
        <v>0.81004328596152231</v>
      </c>
      <c r="O176" s="1" t="str">
        <f>HYPERLINK(".\sm_car_210306_0055\sm_car_210306_0055_175_Ca156TrN_MaIPA_ode23t.png","figure")</f>
        <v>figure</v>
      </c>
      <c r="P176" t="s">
        <v>15</v>
      </c>
    </row>
    <row r="177" spans="1:16" x14ac:dyDescent="0.25">
      <c r="A177">
        <v>176</v>
      </c>
      <c r="B177">
        <v>130</v>
      </c>
      <c r="C177" t="s">
        <v>45</v>
      </c>
      <c r="D177" t="s">
        <v>17</v>
      </c>
      <c r="E177" t="s">
        <v>18</v>
      </c>
      <c r="F177" t="s">
        <v>19</v>
      </c>
      <c r="G177" t="s">
        <v>38</v>
      </c>
      <c r="H177" t="s">
        <v>21</v>
      </c>
      <c r="I177" t="s">
        <v>54</v>
      </c>
      <c r="J177" t="s">
        <v>23</v>
      </c>
      <c r="K177">
        <v>18303</v>
      </c>
      <c r="L177">
        <v>416.75778839999998</v>
      </c>
      <c r="M177">
        <v>15.539515341829947</v>
      </c>
      <c r="N177">
        <v>0.4774787412830323</v>
      </c>
      <c r="O177" s="1" t="str">
        <f>HYPERLINK(".\sm_car_210306_0055\sm_car_210306_0055_176_Ca130TrN_MaIPA_ode23t.png","figure")</f>
        <v>figure</v>
      </c>
      <c r="P177" t="s">
        <v>15</v>
      </c>
    </row>
    <row r="178" spans="1:16" x14ac:dyDescent="0.25">
      <c r="A178">
        <v>177</v>
      </c>
      <c r="B178">
        <v>171</v>
      </c>
      <c r="C178" t="s">
        <v>45</v>
      </c>
      <c r="D178" t="s">
        <v>17</v>
      </c>
      <c r="E178" t="s">
        <v>72</v>
      </c>
      <c r="F178" t="s">
        <v>19</v>
      </c>
      <c r="G178" t="s">
        <v>26</v>
      </c>
      <c r="H178" t="s">
        <v>21</v>
      </c>
      <c r="I178" t="s">
        <v>73</v>
      </c>
      <c r="J178" t="s">
        <v>23</v>
      </c>
      <c r="K178">
        <v>2582</v>
      </c>
      <c r="L178">
        <v>58.303727199999997</v>
      </c>
      <c r="M178">
        <v>346.75819778037106</v>
      </c>
      <c r="N178">
        <v>-0.41000259153453339</v>
      </c>
      <c r="O178" s="1" t="str">
        <f>HYPERLINK(".\sm_car_210306_0055\sm_car_210306_0055_177_Ca171TrN_MaRDP_ode23t.png","figure")</f>
        <v>figure</v>
      </c>
      <c r="P178" t="s">
        <v>15</v>
      </c>
    </row>
    <row r="179" spans="1:16" x14ac:dyDescent="0.25">
      <c r="A179">
        <v>178</v>
      </c>
      <c r="B179">
        <v>172</v>
      </c>
      <c r="C179" t="s">
        <v>46</v>
      </c>
      <c r="D179" t="s">
        <v>17</v>
      </c>
      <c r="E179" t="s">
        <v>72</v>
      </c>
      <c r="F179" t="s">
        <v>19</v>
      </c>
      <c r="G179" t="s">
        <v>26</v>
      </c>
      <c r="H179" t="s">
        <v>21</v>
      </c>
      <c r="I179" t="s">
        <v>73</v>
      </c>
      <c r="J179" t="s">
        <v>23</v>
      </c>
      <c r="K179">
        <v>2651</v>
      </c>
      <c r="L179">
        <v>47.179639799999997</v>
      </c>
      <c r="M179">
        <v>310.27494479864214</v>
      </c>
      <c r="N179">
        <v>-0.71297385627118492</v>
      </c>
      <c r="O179" s="1" t="str">
        <f>HYPERLINK(".\sm_car_210306_0055\sm_car_210306_0055_178_Ca172TrN_MaRDP_ode23t.png","figure")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21</v>
      </c>
      <c r="I180" t="s">
        <v>74</v>
      </c>
      <c r="J180" t="s">
        <v>23</v>
      </c>
      <c r="K180">
        <v>2700</v>
      </c>
      <c r="L180">
        <v>38.484937899999998</v>
      </c>
      <c r="M180">
        <v>295.20337172782558</v>
      </c>
      <c r="N180">
        <v>-0.35953314281076459</v>
      </c>
      <c r="O180" s="1" t="str">
        <f>HYPERLINK(".\sm_car_210306_0055\sm_car_210306_0055_179_Ca139TrN_MaZPL_ode23t.png","figure")</f>
        <v>figure</v>
      </c>
      <c r="P180" t="s">
        <v>15</v>
      </c>
    </row>
    <row r="181" spans="1:16" x14ac:dyDescent="0.25">
      <c r="A181">
        <v>180</v>
      </c>
      <c r="B181">
        <v>165</v>
      </c>
      <c r="C181" t="s">
        <v>45</v>
      </c>
      <c r="D181" t="s">
        <v>35</v>
      </c>
      <c r="E181" t="s">
        <v>49</v>
      </c>
      <c r="F181" t="s">
        <v>19</v>
      </c>
      <c r="G181" t="s">
        <v>26</v>
      </c>
      <c r="H181" t="s">
        <v>21</v>
      </c>
      <c r="I181" t="s">
        <v>74</v>
      </c>
      <c r="J181" t="s">
        <v>23</v>
      </c>
      <c r="K181">
        <v>2379</v>
      </c>
      <c r="L181">
        <v>24.6953</v>
      </c>
      <c r="M181">
        <v>395.62287049096028</v>
      </c>
      <c r="N181">
        <v>0.32966713998816205</v>
      </c>
      <c r="O181" s="1" t="str">
        <f>HYPERLINK(".\sm_car_210306_0055\sm_car_210306_0055_180_Ca165TrN_MaZPL_ode23t.png","figure")</f>
        <v>figure</v>
      </c>
      <c r="P181" t="s">
        <v>15</v>
      </c>
    </row>
    <row r="182" spans="1:16" x14ac:dyDescent="0.25">
      <c r="A182">
        <v>181</v>
      </c>
      <c r="B182">
        <v>171</v>
      </c>
      <c r="C182" t="s">
        <v>45</v>
      </c>
      <c r="D182" t="s">
        <v>17</v>
      </c>
      <c r="E182" t="s">
        <v>72</v>
      </c>
      <c r="F182" t="s">
        <v>19</v>
      </c>
      <c r="G182" t="s">
        <v>26</v>
      </c>
      <c r="H182" t="s">
        <v>21</v>
      </c>
      <c r="I182" t="s">
        <v>74</v>
      </c>
      <c r="J182" t="s">
        <v>23</v>
      </c>
      <c r="K182">
        <v>2851</v>
      </c>
      <c r="L182">
        <v>56.780397700000002</v>
      </c>
      <c r="M182">
        <v>370.2677630186102</v>
      </c>
      <c r="N182">
        <v>-0.48000601348979682</v>
      </c>
      <c r="O182" s="1" t="str">
        <f>HYPERLINK(".\sm_car_210306_0055\sm_car_210306_0055_181_Ca171TrN_MaZPL_ode23t.png","figure")</f>
        <v>figure</v>
      </c>
      <c r="P182" t="s">
        <v>15</v>
      </c>
    </row>
    <row r="183" spans="1:16" x14ac:dyDescent="0.25">
      <c r="A183">
        <v>182</v>
      </c>
      <c r="B183">
        <v>165</v>
      </c>
      <c r="C183" t="s">
        <v>45</v>
      </c>
      <c r="D183" t="s">
        <v>35</v>
      </c>
      <c r="E183" t="s">
        <v>49</v>
      </c>
      <c r="F183" t="s">
        <v>19</v>
      </c>
      <c r="G183" t="s">
        <v>26</v>
      </c>
      <c r="H183" t="s">
        <v>21</v>
      </c>
      <c r="I183" t="s">
        <v>75</v>
      </c>
      <c r="J183" t="s">
        <v>23</v>
      </c>
      <c r="K183">
        <v>2379</v>
      </c>
      <c r="L183">
        <v>24.951396299999999</v>
      </c>
      <c r="M183">
        <v>376.4192773304589</v>
      </c>
      <c r="N183">
        <v>0.31762079753678557</v>
      </c>
      <c r="O183" s="1" t="str">
        <f>HYPERLINK(".\sm_car_210306_0055\sm_car_210306_0055_182_Ca165TrN_MaCPL_ode23t.png","figure")</f>
        <v>figure</v>
      </c>
      <c r="P183" t="s">
        <v>15</v>
      </c>
    </row>
    <row r="184" spans="1:16" x14ac:dyDescent="0.25">
      <c r="A184">
        <v>183</v>
      </c>
      <c r="B184">
        <v>171</v>
      </c>
      <c r="C184" t="s">
        <v>45</v>
      </c>
      <c r="D184" t="s">
        <v>17</v>
      </c>
      <c r="E184" t="s">
        <v>72</v>
      </c>
      <c r="F184" t="s">
        <v>19</v>
      </c>
      <c r="G184" t="s">
        <v>26</v>
      </c>
      <c r="H184" t="s">
        <v>21</v>
      </c>
      <c r="I184" t="s">
        <v>75</v>
      </c>
      <c r="J184" t="s">
        <v>23</v>
      </c>
      <c r="K184">
        <v>2503</v>
      </c>
      <c r="L184">
        <v>49.458498599999999</v>
      </c>
      <c r="M184">
        <v>346.75842303825527</v>
      </c>
      <c r="N184">
        <v>-0.41021649053804149</v>
      </c>
      <c r="O184" s="1" t="str">
        <f>HYPERLINK(".\sm_car_210306_0055\sm_car_210306_0055_183_Ca171TrN_MaCPL_ode23t.png","figure")</f>
        <v>figure</v>
      </c>
      <c r="P184" t="s">
        <v>15</v>
      </c>
    </row>
    <row r="185" spans="1:16" x14ac:dyDescent="0.25">
      <c r="A185">
        <v>184</v>
      </c>
      <c r="B185">
        <v>171</v>
      </c>
      <c r="C185" t="s">
        <v>45</v>
      </c>
      <c r="D185" t="s">
        <v>17</v>
      </c>
      <c r="E185" t="s">
        <v>72</v>
      </c>
      <c r="F185" t="s">
        <v>19</v>
      </c>
      <c r="G185" t="s">
        <v>26</v>
      </c>
      <c r="H185" t="s">
        <v>21</v>
      </c>
      <c r="I185" t="s">
        <v>76</v>
      </c>
      <c r="J185" t="s">
        <v>23</v>
      </c>
      <c r="K185">
        <v>3306</v>
      </c>
      <c r="L185">
        <v>78.000560300000004</v>
      </c>
      <c r="M185">
        <v>151.66889037389413</v>
      </c>
      <c r="N185">
        <v>1.7048558918138722E-4</v>
      </c>
      <c r="O185" s="1" t="str">
        <f>HYPERLINK(".\sm_car_210306_0055\sm_car_210306_0055_184_Ca171TrN_MaRDR_ode23t.png","figure")</f>
        <v>figure</v>
      </c>
      <c r="P185" t="s">
        <v>15</v>
      </c>
    </row>
    <row r="186" spans="1:16" x14ac:dyDescent="0.25">
      <c r="A186">
        <v>185</v>
      </c>
      <c r="B186">
        <v>172</v>
      </c>
      <c r="C186" t="s">
        <v>46</v>
      </c>
      <c r="D186" t="s">
        <v>17</v>
      </c>
      <c r="E186" t="s">
        <v>72</v>
      </c>
      <c r="F186" t="s">
        <v>19</v>
      </c>
      <c r="G186" t="s">
        <v>26</v>
      </c>
      <c r="H186" t="s">
        <v>21</v>
      </c>
      <c r="I186" t="s">
        <v>76</v>
      </c>
      <c r="J186" t="s">
        <v>23</v>
      </c>
      <c r="K186">
        <v>3462</v>
      </c>
      <c r="L186">
        <v>68.036018799999994</v>
      </c>
      <c r="M186">
        <v>149.5933712911812</v>
      </c>
      <c r="N186">
        <v>-3.3072566049658298E-3</v>
      </c>
      <c r="O186" s="1" t="str">
        <f>HYPERLINK(".\sm_car_210306_0055\sm_car_210306_0055_185_Ca172TrN_MaRDR_ode23t.png","figure")</f>
        <v>figure</v>
      </c>
      <c r="P186" t="s">
        <v>15</v>
      </c>
    </row>
    <row r="187" spans="1:16" x14ac:dyDescent="0.25">
      <c r="A187">
        <v>186</v>
      </c>
      <c r="B187">
        <v>139</v>
      </c>
      <c r="C187" t="s">
        <v>45</v>
      </c>
      <c r="D187" t="s">
        <v>17</v>
      </c>
      <c r="E187" t="s">
        <v>18</v>
      </c>
      <c r="F187" t="s">
        <v>19</v>
      </c>
      <c r="G187" t="s">
        <v>26</v>
      </c>
      <c r="H187" t="s">
        <v>21</v>
      </c>
      <c r="I187" t="s">
        <v>77</v>
      </c>
      <c r="J187" t="s">
        <v>23</v>
      </c>
      <c r="K187">
        <v>3974</v>
      </c>
      <c r="L187">
        <v>59.294438800000002</v>
      </c>
      <c r="M187">
        <v>175.27559649340265</v>
      </c>
      <c r="N187">
        <v>-3.142082573078495E-5</v>
      </c>
      <c r="O187" s="1" t="str">
        <f>HYPERLINK(".\sm_car_210306_0055\sm_car_210306_0055_186_Ca139TrN_MaZRR_ode23t.png","figure")</f>
        <v>figure</v>
      </c>
      <c r="P187" t="s">
        <v>15</v>
      </c>
    </row>
    <row r="188" spans="1:16" x14ac:dyDescent="0.25">
      <c r="A188">
        <v>187</v>
      </c>
      <c r="B188">
        <v>165</v>
      </c>
      <c r="C188" t="s">
        <v>45</v>
      </c>
      <c r="D188" t="s">
        <v>35</v>
      </c>
      <c r="E188" t="s">
        <v>49</v>
      </c>
      <c r="F188" t="s">
        <v>19</v>
      </c>
      <c r="G188" t="s">
        <v>26</v>
      </c>
      <c r="H188" t="s">
        <v>21</v>
      </c>
      <c r="I188" t="s">
        <v>77</v>
      </c>
      <c r="J188" t="s">
        <v>23</v>
      </c>
      <c r="K188">
        <v>3706</v>
      </c>
      <c r="L188">
        <v>39.955309999999997</v>
      </c>
      <c r="M188">
        <v>175.96372826891275</v>
      </c>
      <c r="N188">
        <v>9.1962115173770462E-5</v>
      </c>
      <c r="O188" s="1" t="str">
        <f>HYPERLINK(".\sm_car_210306_0055\sm_car_210306_0055_187_Ca165TrN_MaZRR_ode23t.png","figure")</f>
        <v>figure</v>
      </c>
      <c r="P188" t="s">
        <v>15</v>
      </c>
    </row>
    <row r="189" spans="1:16" x14ac:dyDescent="0.25">
      <c r="A189">
        <v>188</v>
      </c>
      <c r="B189">
        <v>171</v>
      </c>
      <c r="C189" t="s">
        <v>45</v>
      </c>
      <c r="D189" t="s">
        <v>17</v>
      </c>
      <c r="E189" t="s">
        <v>72</v>
      </c>
      <c r="F189" t="s">
        <v>19</v>
      </c>
      <c r="G189" t="s">
        <v>26</v>
      </c>
      <c r="H189" t="s">
        <v>21</v>
      </c>
      <c r="I189" t="s">
        <v>77</v>
      </c>
      <c r="J189" t="s">
        <v>23</v>
      </c>
      <c r="K189">
        <v>3978</v>
      </c>
      <c r="L189">
        <v>94.078893300000004</v>
      </c>
      <c r="M189">
        <v>175.77060037849859</v>
      </c>
      <c r="N189">
        <v>-8.9550156256722671E-5</v>
      </c>
      <c r="O189" s="1" t="str">
        <f>HYPERLINK(".\sm_car_210306_0055\sm_car_210306_0055_188_Ca171TrN_MaZRR_ode23t.png","figure")</f>
        <v>figure</v>
      </c>
      <c r="P189" t="s">
        <v>15</v>
      </c>
    </row>
    <row r="190" spans="1:16" x14ac:dyDescent="0.25">
      <c r="A190">
        <v>189</v>
      </c>
      <c r="B190">
        <v>170</v>
      </c>
      <c r="C190" t="s">
        <v>45</v>
      </c>
      <c r="D190" t="s">
        <v>35</v>
      </c>
      <c r="E190" t="s">
        <v>49</v>
      </c>
      <c r="F190" t="s">
        <v>19</v>
      </c>
      <c r="G190" t="s">
        <v>20</v>
      </c>
      <c r="H190" t="s">
        <v>21</v>
      </c>
      <c r="I190" t="s">
        <v>78</v>
      </c>
      <c r="J190" t="s">
        <v>23</v>
      </c>
      <c r="K190">
        <v>4846</v>
      </c>
      <c r="L190">
        <v>35.015546700000002</v>
      </c>
      <c r="M190">
        <v>-14.03920897722784</v>
      </c>
      <c r="N190">
        <v>3.7310650430588163E-2</v>
      </c>
      <c r="O190" s="1" t="str">
        <f>HYPERLINK(".\sm_car_210306_0055\sm_car_210306_0055_189_Ca170TrN_MaCMP_ode23t.png","figure")</f>
        <v>figure</v>
      </c>
      <c r="P190" t="s">
        <v>15</v>
      </c>
    </row>
    <row r="191" spans="1:16" x14ac:dyDescent="0.25">
      <c r="A191">
        <v>190</v>
      </c>
      <c r="B191">
        <v>170</v>
      </c>
      <c r="C191" t="s">
        <v>45</v>
      </c>
      <c r="D191" t="s">
        <v>35</v>
      </c>
      <c r="E191" t="s">
        <v>49</v>
      </c>
      <c r="F191" t="s">
        <v>19</v>
      </c>
      <c r="G191" t="s">
        <v>20</v>
      </c>
      <c r="H191" t="s">
        <v>21</v>
      </c>
      <c r="I191" t="s">
        <v>79</v>
      </c>
      <c r="J191" t="s">
        <v>23</v>
      </c>
      <c r="K191">
        <v>1778</v>
      </c>
      <c r="L191">
        <v>26.053207499999999</v>
      </c>
      <c r="M191">
        <v>-14.040961703547824</v>
      </c>
      <c r="N191">
        <v>3.6788579884253443E-2</v>
      </c>
      <c r="O191" s="1" t="str">
        <f>HYPERLINK(".\sm_car_210306_0055\sm_car_210306_0055_190_Ca170TrN_MaCMF_ode23t.png","figure")</f>
        <v>figure</v>
      </c>
      <c r="P191" t="s">
        <v>15</v>
      </c>
    </row>
    <row r="192" spans="1:16" x14ac:dyDescent="0.25">
      <c r="A192">
        <v>191</v>
      </c>
      <c r="B192">
        <v>170</v>
      </c>
      <c r="C192" t="s">
        <v>45</v>
      </c>
      <c r="D192" t="s">
        <v>35</v>
      </c>
      <c r="E192" t="s">
        <v>49</v>
      </c>
      <c r="F192" t="s">
        <v>19</v>
      </c>
      <c r="G192" t="s">
        <v>20</v>
      </c>
      <c r="H192" t="s">
        <v>21</v>
      </c>
      <c r="I192" t="s">
        <v>80</v>
      </c>
      <c r="J192" t="s">
        <v>23</v>
      </c>
      <c r="K192">
        <v>4022</v>
      </c>
      <c r="L192">
        <v>52.1566653</v>
      </c>
      <c r="M192">
        <v>-331.19377735375076</v>
      </c>
      <c r="N192">
        <v>10.48123679612001</v>
      </c>
      <c r="O192" s="1" t="str">
        <f>HYPERLINK(".\sm_car_210306_0055\sm_car_210306_0055_191_Ca170TrN_MaMPO_ode23t.png","figure")</f>
        <v>figure</v>
      </c>
      <c r="P192" t="s">
        <v>15</v>
      </c>
    </row>
    <row r="193" spans="1:16" x14ac:dyDescent="0.25">
      <c r="A193">
        <v>192</v>
      </c>
      <c r="B193">
        <v>170</v>
      </c>
      <c r="C193" t="s">
        <v>45</v>
      </c>
      <c r="D193" t="s">
        <v>35</v>
      </c>
      <c r="E193" t="s">
        <v>49</v>
      </c>
      <c r="F193" t="s">
        <v>19</v>
      </c>
      <c r="G193" t="s">
        <v>20</v>
      </c>
      <c r="H193" t="s">
        <v>21</v>
      </c>
      <c r="I193" t="s">
        <v>81</v>
      </c>
      <c r="J193" t="s">
        <v>23</v>
      </c>
      <c r="K193">
        <v>1002</v>
      </c>
      <c r="L193">
        <v>10.6708289</v>
      </c>
      <c r="M193">
        <v>-15.147080008270919</v>
      </c>
      <c r="N193">
        <v>-0.46084116624689386</v>
      </c>
      <c r="O193" s="1" t="str">
        <f>HYPERLINK(".\sm_car_210306_0055\sm_car_210306_0055_192_Ca170TrN_MaMCI_ode23t.png","figure")</f>
        <v>figure</v>
      </c>
      <c r="P193" t="s">
        <v>15</v>
      </c>
    </row>
    <row r="194" spans="1:16" x14ac:dyDescent="0.25">
      <c r="A194">
        <v>193</v>
      </c>
      <c r="B194">
        <v>170</v>
      </c>
      <c r="C194" t="s">
        <v>45</v>
      </c>
      <c r="D194" t="s">
        <v>35</v>
      </c>
      <c r="E194" t="s">
        <v>49</v>
      </c>
      <c r="F194" t="s">
        <v>19</v>
      </c>
      <c r="G194" t="s">
        <v>20</v>
      </c>
      <c r="H194" t="s">
        <v>21</v>
      </c>
      <c r="I194" t="s">
        <v>82</v>
      </c>
      <c r="J194" t="s">
        <v>23</v>
      </c>
      <c r="K194">
        <v>13861</v>
      </c>
      <c r="L194">
        <v>103.0968101</v>
      </c>
      <c r="M194">
        <v>-18.001452142165675</v>
      </c>
      <c r="N194">
        <v>4.5693477363018833E-2</v>
      </c>
      <c r="O194" s="1" t="str">
        <f>HYPERLINK(".\sm_car_210306_0055\sm_car_210306_0055_193_Ca170TrN_MaCKY_ode23t.png","figure")</f>
        <v>figure</v>
      </c>
      <c r="P194" t="s">
        <v>15</v>
      </c>
    </row>
    <row r="195" spans="1:16" x14ac:dyDescent="0.25">
      <c r="A195">
        <v>194</v>
      </c>
      <c r="B195">
        <v>170</v>
      </c>
      <c r="C195" t="s">
        <v>45</v>
      </c>
      <c r="D195" t="s">
        <v>35</v>
      </c>
      <c r="E195" t="s">
        <v>49</v>
      </c>
      <c r="F195" t="s">
        <v>19</v>
      </c>
      <c r="G195" t="s">
        <v>20</v>
      </c>
      <c r="H195" t="s">
        <v>21</v>
      </c>
      <c r="I195" t="s">
        <v>83</v>
      </c>
      <c r="J195" t="s">
        <v>23</v>
      </c>
      <c r="K195">
        <v>4005</v>
      </c>
      <c r="L195">
        <v>47.001252999999998</v>
      </c>
      <c r="M195">
        <v>-18.001993186040451</v>
      </c>
      <c r="N195">
        <v>4.7201594751627426E-2</v>
      </c>
      <c r="O195" s="1" t="str">
        <f>HYPERLINK(".\sm_car_210306_0055\sm_car_210306_0055_194_Ca170TrN_MaCKF_ode23t.png","figure")</f>
        <v>figure</v>
      </c>
      <c r="P195" t="s">
        <v>15</v>
      </c>
    </row>
    <row r="196" spans="1:16" x14ac:dyDescent="0.25">
      <c r="A196">
        <v>195</v>
      </c>
      <c r="B196">
        <v>170</v>
      </c>
      <c r="C196" t="s">
        <v>45</v>
      </c>
      <c r="D196" t="s">
        <v>35</v>
      </c>
      <c r="E196" t="s">
        <v>49</v>
      </c>
      <c r="F196" t="s">
        <v>19</v>
      </c>
      <c r="G196" t="s">
        <v>20</v>
      </c>
      <c r="H196" t="s">
        <v>21</v>
      </c>
      <c r="I196" t="s">
        <v>84</v>
      </c>
      <c r="J196" t="s">
        <v>23</v>
      </c>
      <c r="K196">
        <v>35704</v>
      </c>
      <c r="L196">
        <v>289.80615660000001</v>
      </c>
      <c r="M196">
        <v>-20.798124843849507</v>
      </c>
      <c r="N196">
        <v>0.17647975947546601</v>
      </c>
      <c r="O196" s="1" t="str">
        <f>HYPERLINK(".\sm_car_210306_0055\sm_car_210306_0055_195_Ca170TrN_MaCNN_ode23t.png","figure")</f>
        <v>figure</v>
      </c>
      <c r="P196" t="s">
        <v>15</v>
      </c>
    </row>
    <row r="197" spans="1:16" x14ac:dyDescent="0.25">
      <c r="A197">
        <v>196</v>
      </c>
      <c r="B197">
        <v>170</v>
      </c>
      <c r="C197" t="s">
        <v>45</v>
      </c>
      <c r="D197" t="s">
        <v>35</v>
      </c>
      <c r="E197" t="s">
        <v>49</v>
      </c>
      <c r="F197" t="s">
        <v>19</v>
      </c>
      <c r="G197" t="s">
        <v>20</v>
      </c>
      <c r="H197" t="s">
        <v>21</v>
      </c>
      <c r="I197" t="s">
        <v>85</v>
      </c>
      <c r="J197" t="s">
        <v>23</v>
      </c>
      <c r="K197">
        <v>12280</v>
      </c>
      <c r="L197">
        <v>163.48167029999999</v>
      </c>
      <c r="M197">
        <v>-20.80134647676956</v>
      </c>
      <c r="N197">
        <v>0.16025844296090197</v>
      </c>
      <c r="O197" s="1" t="str">
        <f>HYPERLINK(".\sm_car_210306_0055\sm_car_210306_0055_196_Ca170TrN_MaCNF_ode23t.png","figure")</f>
        <v>figure</v>
      </c>
      <c r="P197" t="s">
        <v>15</v>
      </c>
    </row>
    <row r="198" spans="1:16" x14ac:dyDescent="0.25">
      <c r="A198">
        <v>197</v>
      </c>
      <c r="B198">
        <v>170</v>
      </c>
      <c r="C198" t="s">
        <v>45</v>
      </c>
      <c r="D198" t="s">
        <v>35</v>
      </c>
      <c r="E198" t="s">
        <v>49</v>
      </c>
      <c r="F198" t="s">
        <v>19</v>
      </c>
      <c r="G198" t="s">
        <v>20</v>
      </c>
      <c r="H198" t="s">
        <v>21</v>
      </c>
      <c r="I198" t="s">
        <v>86</v>
      </c>
      <c r="J198" t="s">
        <v>23</v>
      </c>
      <c r="K198">
        <v>24561</v>
      </c>
      <c r="L198">
        <v>151.29649029999999</v>
      </c>
      <c r="M198">
        <v>-17.946816639005135</v>
      </c>
      <c r="N198">
        <v>5.542001560989647E-2</v>
      </c>
      <c r="O198" s="1" t="str">
        <f>HYPERLINK(".\sm_car_210306_0055\sm_car_210306_0055_197_Ca170TrN_MaCSZ_ode23t.png","figure")</f>
        <v>figure</v>
      </c>
      <c r="P198" t="s">
        <v>15</v>
      </c>
    </row>
    <row r="199" spans="1:16" x14ac:dyDescent="0.25">
      <c r="A199">
        <v>198</v>
      </c>
      <c r="B199">
        <v>170</v>
      </c>
      <c r="C199" t="s">
        <v>45</v>
      </c>
      <c r="D199" t="s">
        <v>35</v>
      </c>
      <c r="E199" t="s">
        <v>49</v>
      </c>
      <c r="F199" t="s">
        <v>19</v>
      </c>
      <c r="G199" t="s">
        <v>20</v>
      </c>
      <c r="H199" t="s">
        <v>21</v>
      </c>
      <c r="I199" t="s">
        <v>87</v>
      </c>
      <c r="J199" t="s">
        <v>23</v>
      </c>
      <c r="K199">
        <v>5188</v>
      </c>
      <c r="L199">
        <v>103.31738729999999</v>
      </c>
      <c r="M199">
        <v>-17.946551019991155</v>
      </c>
      <c r="N199">
        <v>5.4886166497109402E-2</v>
      </c>
      <c r="O199" s="1" t="str">
        <f>HYPERLINK(".\sm_car_210306_0055\sm_car_210306_0055_198_Ca170TrN_MaCSF_ode23t.png","figure")</f>
        <v>figure</v>
      </c>
      <c r="P199" t="s">
        <v>15</v>
      </c>
    </row>
    <row r="200" spans="1:16" x14ac:dyDescent="0.25">
      <c r="A200">
        <v>199</v>
      </c>
      <c r="B200">
        <v>170</v>
      </c>
      <c r="C200" t="s">
        <v>45</v>
      </c>
      <c r="D200" t="s">
        <v>35</v>
      </c>
      <c r="E200" t="s">
        <v>49</v>
      </c>
      <c r="F200" t="s">
        <v>19</v>
      </c>
      <c r="G200" t="s">
        <v>20</v>
      </c>
      <c r="H200" t="s">
        <v>21</v>
      </c>
      <c r="I200" t="s">
        <v>88</v>
      </c>
      <c r="J200" t="s">
        <v>23</v>
      </c>
      <c r="K200">
        <v>118277</v>
      </c>
      <c r="L200">
        <v>741.47662319999995</v>
      </c>
      <c r="M200">
        <v>1387.0650369258879</v>
      </c>
      <c r="N200">
        <v>8853.7495007729976</v>
      </c>
      <c r="O200" s="1" t="str">
        <f>HYPERLINK(".\sm_car_210306_0055\sm_car_210306_0055_199_Ca170TrN_MaCPU_ode23t.png","figure")</f>
        <v>figure</v>
      </c>
      <c r="P200" t="s">
        <v>15</v>
      </c>
    </row>
    <row r="201" spans="1:16" x14ac:dyDescent="0.25">
      <c r="A201">
        <v>200</v>
      </c>
      <c r="B201">
        <v>170</v>
      </c>
      <c r="C201" t="s">
        <v>45</v>
      </c>
      <c r="D201" t="s">
        <v>35</v>
      </c>
      <c r="E201" t="s">
        <v>49</v>
      </c>
      <c r="F201" t="s">
        <v>19</v>
      </c>
      <c r="G201" t="s">
        <v>20</v>
      </c>
      <c r="H201" t="s">
        <v>21</v>
      </c>
      <c r="I201" t="s">
        <v>89</v>
      </c>
      <c r="J201" t="s">
        <v>23</v>
      </c>
      <c r="K201">
        <v>123497</v>
      </c>
      <c r="L201">
        <v>828.17288710000003</v>
      </c>
      <c r="M201">
        <v>-1197.977761008658</v>
      </c>
      <c r="N201">
        <v>-9006.0266656648746</v>
      </c>
      <c r="O201" s="1" t="str">
        <f>HYPERLINK(".\sm_car_210306_0055\sm_car_210306_0055_200_Ca170TrN_MaCPD_ode23t.png","figure")</f>
        <v>figure</v>
      </c>
      <c r="P201" t="s">
        <v>15</v>
      </c>
    </row>
    <row r="202" spans="1:16" x14ac:dyDescent="0.25">
      <c r="A202">
        <v>201</v>
      </c>
      <c r="B202">
        <v>173</v>
      </c>
      <c r="C202" t="s">
        <v>45</v>
      </c>
      <c r="D202" t="s">
        <v>35</v>
      </c>
      <c r="E202" t="s">
        <v>49</v>
      </c>
      <c r="F202" t="s">
        <v>19</v>
      </c>
      <c r="G202" t="s">
        <v>90</v>
      </c>
      <c r="H202" t="s">
        <v>21</v>
      </c>
      <c r="I202" t="s">
        <v>91</v>
      </c>
      <c r="J202" t="s">
        <v>92</v>
      </c>
      <c r="K202">
        <v>19814</v>
      </c>
      <c r="L202">
        <v>941.35285139999996</v>
      </c>
      <c r="M202">
        <v>8841.1580867135162</v>
      </c>
      <c r="N202">
        <v>40.800710784332082</v>
      </c>
      <c r="O202" s="1" t="str">
        <f>HYPERLINK(".\sm_car_210306_0055\sm_car_210306_0055_201_Ca173TrN_MaDCA_daessc.png","figure")</f>
        <v>figure</v>
      </c>
      <c r="P202" t="s">
        <v>15</v>
      </c>
    </row>
    <row r="203" spans="1:16" x14ac:dyDescent="0.25">
      <c r="A203">
        <v>202</v>
      </c>
      <c r="B203">
        <v>173</v>
      </c>
      <c r="C203" t="s">
        <v>45</v>
      </c>
      <c r="D203" t="s">
        <v>35</v>
      </c>
      <c r="E203" t="s">
        <v>49</v>
      </c>
      <c r="F203" t="s">
        <v>19</v>
      </c>
      <c r="G203" t="s">
        <v>90</v>
      </c>
      <c r="H203" t="s">
        <v>21</v>
      </c>
      <c r="I203" t="s">
        <v>93</v>
      </c>
      <c r="J203" t="s">
        <v>92</v>
      </c>
      <c r="K203">
        <v>3943</v>
      </c>
      <c r="L203">
        <v>286.29599330000002</v>
      </c>
      <c r="M203">
        <v>983.81227710532789</v>
      </c>
      <c r="N203">
        <v>0.72556446668351993</v>
      </c>
      <c r="O203" s="1" t="str">
        <f>HYPERLINK(".\sm_car_210306_0055\sm_car_210306_0055_202_Ca173TrN_MaDC1_daessc.png","figure")</f>
        <v>figure</v>
      </c>
      <c r="P203" t="s">
        <v>15</v>
      </c>
    </row>
    <row r="204" spans="1:16" x14ac:dyDescent="0.25">
      <c r="A204">
        <v>203</v>
      </c>
      <c r="B204">
        <v>165</v>
      </c>
      <c r="C204" t="s">
        <v>45</v>
      </c>
      <c r="D204" t="s">
        <v>35</v>
      </c>
      <c r="E204" t="s">
        <v>49</v>
      </c>
      <c r="F204" t="s">
        <v>19</v>
      </c>
      <c r="G204" t="s">
        <v>26</v>
      </c>
      <c r="H204" t="s">
        <v>21</v>
      </c>
      <c r="I204" t="s">
        <v>91</v>
      </c>
      <c r="J204" t="s">
        <v>23</v>
      </c>
      <c r="K204">
        <v>4766</v>
      </c>
      <c r="L204">
        <v>58.733110799999999</v>
      </c>
      <c r="M204">
        <v>8905.3793462317863</v>
      </c>
      <c r="N204">
        <v>42.378998815392514</v>
      </c>
      <c r="O204" s="1" t="str">
        <f>HYPERLINK(".\sm_car_210306_0055\sm_car_210306_0055_203_Ca165TrN_MaDCA_ode23t.png","figure")</f>
        <v>figure</v>
      </c>
      <c r="P204" t="s">
        <v>15</v>
      </c>
    </row>
    <row r="205" spans="1:16" x14ac:dyDescent="0.25">
      <c r="A205">
        <v>204</v>
      </c>
      <c r="B205">
        <v>165</v>
      </c>
      <c r="C205" t="s">
        <v>45</v>
      </c>
      <c r="D205" t="s">
        <v>35</v>
      </c>
      <c r="E205" t="s">
        <v>49</v>
      </c>
      <c r="F205" t="s">
        <v>19</v>
      </c>
      <c r="G205" t="s">
        <v>26</v>
      </c>
      <c r="H205" t="s">
        <v>21</v>
      </c>
      <c r="I205" t="s">
        <v>93</v>
      </c>
      <c r="J205" t="s">
        <v>23</v>
      </c>
      <c r="K205">
        <v>1221</v>
      </c>
      <c r="L205">
        <v>24.448573199999998</v>
      </c>
      <c r="M205">
        <v>992.73860429569982</v>
      </c>
      <c r="N205">
        <v>0.78698714270374603</v>
      </c>
      <c r="O205" s="1" t="str">
        <f>HYPERLINK(".\sm_car_210306_0055\sm_car_210306_0055_204_Ca165TrN_MaDC1_ode23t.png","figure")</f>
        <v>figure</v>
      </c>
      <c r="P205" t="s">
        <v>15</v>
      </c>
    </row>
    <row r="206" spans="1:16" x14ac:dyDescent="0.25">
      <c r="A206">
        <v>205</v>
      </c>
      <c r="B206">
        <v>173</v>
      </c>
      <c r="C206" t="s">
        <v>45</v>
      </c>
      <c r="D206" t="s">
        <v>35</v>
      </c>
      <c r="E206" t="s">
        <v>49</v>
      </c>
      <c r="F206" t="s">
        <v>19</v>
      </c>
      <c r="G206" t="s">
        <v>90</v>
      </c>
      <c r="H206" t="s">
        <v>21</v>
      </c>
      <c r="I206" t="s">
        <v>75</v>
      </c>
      <c r="J206" t="s">
        <v>92</v>
      </c>
      <c r="K206">
        <v>3864</v>
      </c>
      <c r="L206">
        <v>186.9544233</v>
      </c>
      <c r="M206">
        <v>311.23056569256016</v>
      </c>
      <c r="N206">
        <v>2.7055283797322192</v>
      </c>
      <c r="O206" s="1" t="str">
        <f>HYPERLINK(".\sm_car_210306_0055\sm_car_210306_0055_205_Ca173TrN_MaCPL_daessc.png","figure")</f>
        <v>figure</v>
      </c>
      <c r="P206" t="s">
        <v>15</v>
      </c>
    </row>
    <row r="207" spans="1:16" x14ac:dyDescent="0.25">
      <c r="A207">
        <v>206</v>
      </c>
      <c r="B207" t="s">
        <v>94</v>
      </c>
      <c r="C207" t="s">
        <v>95</v>
      </c>
      <c r="D207" t="s">
        <v>35</v>
      </c>
      <c r="E207" t="s">
        <v>18</v>
      </c>
      <c r="F207" t="s">
        <v>19</v>
      </c>
      <c r="G207" t="s">
        <v>96</v>
      </c>
      <c r="H207" t="s">
        <v>21</v>
      </c>
      <c r="I207" t="s">
        <v>22</v>
      </c>
      <c r="J207" t="s">
        <v>23</v>
      </c>
      <c r="K207">
        <v>427</v>
      </c>
      <c r="L207">
        <v>14.733609100000001</v>
      </c>
      <c r="M207">
        <v>66.382692463459549</v>
      </c>
      <c r="N207">
        <v>-0.2308293961597776</v>
      </c>
      <c r="O207" s="1" t="str">
        <f>HYPERLINK(".\sm_car_210306_0055\sm_car_Axle3_210306_0055_206_CaAxle3_000TrN_MaWOT_ode23t.png","figure")</f>
        <v>figure</v>
      </c>
      <c r="P207" t="s">
        <v>15</v>
      </c>
    </row>
    <row r="208" spans="1:16" x14ac:dyDescent="0.25">
      <c r="A208">
        <v>207</v>
      </c>
      <c r="B208" t="s">
        <v>97</v>
      </c>
      <c r="C208" t="s">
        <v>95</v>
      </c>
      <c r="D208" t="s">
        <v>35</v>
      </c>
      <c r="E208" t="s">
        <v>49</v>
      </c>
      <c r="F208" t="s">
        <v>19</v>
      </c>
      <c r="G208" t="s">
        <v>98</v>
      </c>
      <c r="H208" t="s">
        <v>21</v>
      </c>
      <c r="I208" t="s">
        <v>22</v>
      </c>
      <c r="J208" t="s">
        <v>23</v>
      </c>
      <c r="K208">
        <v>398</v>
      </c>
      <c r="L208">
        <v>66.296728700000003</v>
      </c>
      <c r="M208">
        <v>65.50421552437858</v>
      </c>
      <c r="N208">
        <v>-0.18599229437782738</v>
      </c>
      <c r="O208" s="1" t="str">
        <f>HYPERLINK(".\sm_car_210306_0055\sm_car_Axle3_210306_0055_207_CaAxle3_003TrN_MaWOT_ode23t.png","figure")</f>
        <v>figure</v>
      </c>
      <c r="P208" t="s">
        <v>15</v>
      </c>
    </row>
    <row r="209" spans="1:16" x14ac:dyDescent="0.25">
      <c r="A209">
        <v>208</v>
      </c>
      <c r="B209" t="s">
        <v>99</v>
      </c>
      <c r="C209" t="s">
        <v>100</v>
      </c>
      <c r="D209" t="s">
        <v>35</v>
      </c>
      <c r="E209" t="s">
        <v>18</v>
      </c>
      <c r="F209" t="s">
        <v>19</v>
      </c>
      <c r="G209" t="s">
        <v>96</v>
      </c>
      <c r="H209" t="s">
        <v>21</v>
      </c>
      <c r="I209" t="s">
        <v>22</v>
      </c>
      <c r="J209" t="s">
        <v>23</v>
      </c>
      <c r="K209">
        <v>593</v>
      </c>
      <c r="L209">
        <v>29.245509599999998</v>
      </c>
      <c r="M209">
        <v>72.046350896575049</v>
      </c>
      <c r="N209">
        <v>-0.23451049086574613</v>
      </c>
      <c r="O209" s="1" t="str">
        <f>HYPERLINK(".\sm_car_210306_0055\sm_car_Axle3_210306_0055_208_CaAxle3_008TrN_MaWOT_ode23t.png","figure")</f>
        <v>figure</v>
      </c>
      <c r="P209" t="s">
        <v>15</v>
      </c>
    </row>
    <row r="210" spans="1:16" x14ac:dyDescent="0.25">
      <c r="A210">
        <v>209</v>
      </c>
      <c r="B210" t="s">
        <v>101</v>
      </c>
      <c r="C210" t="s">
        <v>100</v>
      </c>
      <c r="D210" t="s">
        <v>35</v>
      </c>
      <c r="E210" t="s">
        <v>49</v>
      </c>
      <c r="F210" t="s">
        <v>19</v>
      </c>
      <c r="G210" t="s">
        <v>96</v>
      </c>
      <c r="H210" t="s">
        <v>102</v>
      </c>
      <c r="I210" t="s">
        <v>22</v>
      </c>
      <c r="J210" t="s">
        <v>23</v>
      </c>
      <c r="K210">
        <v>342</v>
      </c>
      <c r="L210">
        <v>108.25058919999999</v>
      </c>
      <c r="M210">
        <v>36.06105164730802</v>
      </c>
      <c r="N210">
        <v>8.1221498087182889E-3</v>
      </c>
      <c r="O210" s="1" t="str">
        <f>HYPERLINK(".\sm_car_210306_0055\sm_car_Axle3_210306_0055_209_CaAxle3_010TrK_MaWOT_ode23t.png","figure")</f>
        <v>figure</v>
      </c>
      <c r="P210" t="s">
        <v>15</v>
      </c>
    </row>
    <row r="211" spans="1:16" x14ac:dyDescent="0.25">
      <c r="A211">
        <v>210</v>
      </c>
      <c r="B211" t="s">
        <v>101</v>
      </c>
      <c r="C211" t="s">
        <v>100</v>
      </c>
      <c r="D211" t="s">
        <v>35</v>
      </c>
      <c r="E211" t="s">
        <v>49</v>
      </c>
      <c r="F211" t="s">
        <v>19</v>
      </c>
      <c r="G211" t="s">
        <v>96</v>
      </c>
      <c r="H211" t="s">
        <v>102</v>
      </c>
      <c r="I211" t="s">
        <v>22</v>
      </c>
      <c r="J211" t="s">
        <v>23</v>
      </c>
      <c r="K211">
        <v>431</v>
      </c>
      <c r="L211">
        <v>126.3380293</v>
      </c>
      <c r="M211">
        <v>33.413366909683241</v>
      </c>
      <c r="N211">
        <v>6.1317862938919492E-3</v>
      </c>
      <c r="O211" s="1" t="str">
        <f>HYPERLINK(".\sm_car_210306_0055\sm_car_Axle3_210306_0055_210_CaAxle3_010TrK_MaWOT_ode23t.png","figure")</f>
        <v>figure</v>
      </c>
      <c r="P211" t="s">
        <v>15</v>
      </c>
    </row>
    <row r="212" spans="1:16" x14ac:dyDescent="0.25">
      <c r="A212">
        <v>211</v>
      </c>
      <c r="B212" t="s">
        <v>103</v>
      </c>
      <c r="C212" t="s">
        <v>100</v>
      </c>
      <c r="D212" t="s">
        <v>35</v>
      </c>
      <c r="E212" t="s">
        <v>18</v>
      </c>
      <c r="F212" t="s">
        <v>19</v>
      </c>
      <c r="G212" t="s">
        <v>104</v>
      </c>
      <c r="H212" t="s">
        <v>102</v>
      </c>
      <c r="I212" t="s">
        <v>53</v>
      </c>
      <c r="J212" t="s">
        <v>23</v>
      </c>
      <c r="K212">
        <v>626</v>
      </c>
      <c r="L212">
        <v>30.089149500000001</v>
      </c>
      <c r="M212">
        <v>237.49441698377603</v>
      </c>
      <c r="N212">
        <v>-3.0996027244124758E-2</v>
      </c>
      <c r="O212" s="1" t="str">
        <f>HYPERLINK(".\sm_car_210306_0055\sm_car_Axle3_210306_0055_211_CaAxle3_012TrK_MaDLC_ode23t.png","figure")</f>
        <v>figure</v>
      </c>
      <c r="P212" t="s">
        <v>15</v>
      </c>
    </row>
    <row r="213" spans="1:16" x14ac:dyDescent="0.25">
      <c r="A213">
        <v>212</v>
      </c>
      <c r="B213" t="s">
        <v>103</v>
      </c>
      <c r="C213" t="s">
        <v>100</v>
      </c>
      <c r="D213" t="s">
        <v>35</v>
      </c>
      <c r="E213" t="s">
        <v>18</v>
      </c>
      <c r="F213" t="s">
        <v>19</v>
      </c>
      <c r="G213" t="s">
        <v>104</v>
      </c>
      <c r="H213" t="s">
        <v>102</v>
      </c>
      <c r="I213" t="s">
        <v>53</v>
      </c>
      <c r="J213" t="s">
        <v>23</v>
      </c>
      <c r="K213">
        <v>750</v>
      </c>
      <c r="L213">
        <v>35.730246100000002</v>
      </c>
      <c r="M213">
        <v>237.46011319085591</v>
      </c>
      <c r="N213">
        <v>2.5795345508969891E-2</v>
      </c>
      <c r="O213" s="1" t="str">
        <f>HYPERLINK(".\sm_car_210306_0055\sm_car_Axle3_210306_0055_212_CaAxle3_012TrK_MaDLC_ode23t.png","figure")</f>
        <v>figure</v>
      </c>
      <c r="P213" t="s">
        <v>15</v>
      </c>
    </row>
    <row r="214" spans="1:16" x14ac:dyDescent="0.25">
      <c r="A214">
        <v>213</v>
      </c>
      <c r="B214" t="s">
        <v>103</v>
      </c>
      <c r="C214" t="s">
        <v>100</v>
      </c>
      <c r="D214" t="s">
        <v>35</v>
      </c>
      <c r="E214" t="s">
        <v>18</v>
      </c>
      <c r="F214" t="s">
        <v>19</v>
      </c>
      <c r="G214" t="s">
        <v>104</v>
      </c>
      <c r="H214" t="s">
        <v>102</v>
      </c>
      <c r="I214" t="s">
        <v>53</v>
      </c>
      <c r="J214" t="s">
        <v>23</v>
      </c>
      <c r="K214">
        <v>634</v>
      </c>
      <c r="L214">
        <v>31.2507737</v>
      </c>
      <c r="M214">
        <v>240.31018806486759</v>
      </c>
      <c r="N214">
        <v>-8.5505558901640466E-2</v>
      </c>
      <c r="O214" s="1" t="str">
        <f>HYPERLINK(".\sm_car_210306_0055\sm_car_Axle3_210306_0055_213_CaAxle3_012TrK_MaDLC_ode23t.png","figure")</f>
        <v>figure</v>
      </c>
      <c r="P214" t="s">
        <v>15</v>
      </c>
    </row>
    <row r="215" spans="1:16" x14ac:dyDescent="0.25">
      <c r="A215">
        <v>214</v>
      </c>
      <c r="B215" t="s">
        <v>103</v>
      </c>
      <c r="C215" t="s">
        <v>100</v>
      </c>
      <c r="D215" t="s">
        <v>35</v>
      </c>
      <c r="E215" t="s">
        <v>18</v>
      </c>
      <c r="F215" t="s">
        <v>19</v>
      </c>
      <c r="G215" t="s">
        <v>104</v>
      </c>
      <c r="H215" t="s">
        <v>102</v>
      </c>
      <c r="I215" t="s">
        <v>53</v>
      </c>
      <c r="J215" t="s">
        <v>23</v>
      </c>
      <c r="K215">
        <v>696</v>
      </c>
      <c r="L215">
        <v>34.864406199999998</v>
      </c>
      <c r="M215">
        <v>240.18469442732481</v>
      </c>
      <c r="N215">
        <v>-0.13912454764400284</v>
      </c>
      <c r="O215" s="1" t="str">
        <f>HYPERLINK(".\sm_car_210306_0055\sm_car_Axle3_210306_0055_214_CaAxle3_012TrK_MaDLC_ode23t.png","figure")</f>
        <v>figure</v>
      </c>
      <c r="P2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2021a_210306_0055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2021-03-06T10:53:34Z</dcterms:modified>
</cp:coreProperties>
</file>