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imscape\demo\allsimscape\cars\vehicle-templates\SimResults\"/>
    </mc:Choice>
  </mc:AlternateContent>
  <xr:revisionPtr revIDLastSave="0" documentId="13_ncr:1_{96C0E5AC-BEDF-4636-82B6-D28009068B4F}" xr6:coauthVersionLast="47" xr6:coauthVersionMax="47" xr10:uidLastSave="{00000000-0000-0000-0000-000000000000}"/>
  <bookViews>
    <workbookView xWindow="390" yWindow="390" windowWidth="21600" windowHeight="11325" activeTab="1" xr2:uid="{86C44CE1-1010-4E30-92B1-BDE677C7682C}"/>
  </bookViews>
  <sheets>
    <sheet name="Sheet1" sheetId="1" r:id="rId1"/>
    <sheet name="2020a_210927_23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</calcChain>
</file>

<file path=xl/sharedStrings.xml><?xml version="1.0" encoding="utf-8"?>
<sst xmlns="http://schemas.openxmlformats.org/spreadsheetml/2006/main" count="2091" uniqueCount="113">
  <si>
    <t>Run</t>
  </si>
  <si>
    <t>Preset</t>
  </si>
  <si>
    <t>Body</t>
  </si>
  <si>
    <t>SuspF</t>
  </si>
  <si>
    <t>Tire</t>
  </si>
  <si>
    <t>TirDyn</t>
  </si>
  <si>
    <t>Drv</t>
  </si>
  <si>
    <t>Trail</t>
  </si>
  <si>
    <t>Mane</t>
  </si>
  <si>
    <t>Solv</t>
  </si>
  <si>
    <t># Steps</t>
  </si>
  <si>
    <t>Time</t>
  </si>
  <si>
    <t>xFinal</t>
  </si>
  <si>
    <t>yFinal</t>
  </si>
  <si>
    <t>Figure</t>
  </si>
  <si>
    <t>Pass</t>
  </si>
  <si>
    <t>HambaLG</t>
  </si>
  <si>
    <t>dwb</t>
  </si>
  <si>
    <t>MFEval</t>
  </si>
  <si>
    <t>steady</t>
  </si>
  <si>
    <t>f1Dr1D</t>
  </si>
  <si>
    <t>None</t>
  </si>
  <si>
    <t>WOT Braking</t>
  </si>
  <si>
    <t>ode23t</t>
  </si>
  <si>
    <t>Low Speed Steer</t>
  </si>
  <si>
    <t>f1D3Dr1D</t>
  </si>
  <si>
    <t>fCVpCVr1D</t>
  </si>
  <si>
    <t>fCVpCVflexr1D</t>
  </si>
  <si>
    <t>lintra</t>
  </si>
  <si>
    <t>dwa</t>
  </si>
  <si>
    <t>S2LAF</t>
  </si>
  <si>
    <t>S2LAR</t>
  </si>
  <si>
    <t>5S2LAF</t>
  </si>
  <si>
    <t>5S2LAR</t>
  </si>
  <si>
    <t>5CS2LAF</t>
  </si>
  <si>
    <t>15DOF</t>
  </si>
  <si>
    <t>oneShaft</t>
  </si>
  <si>
    <t>fCVrCV</t>
  </si>
  <si>
    <t>1D3DABS</t>
  </si>
  <si>
    <t>sprFnl</t>
  </si>
  <si>
    <t>sprconRnl</t>
  </si>
  <si>
    <t>sprLin</t>
  </si>
  <si>
    <t>daminRnl</t>
  </si>
  <si>
    <t>damconFnl</t>
  </si>
  <si>
    <t>CVCVp1D</t>
  </si>
  <si>
    <t>Hamba</t>
  </si>
  <si>
    <t>Makhulu</t>
  </si>
  <si>
    <t>MFEval2x</t>
  </si>
  <si>
    <t>CFL</t>
  </si>
  <si>
    <t>Achilles</t>
  </si>
  <si>
    <t>dwpua</t>
  </si>
  <si>
    <t>MFSwift</t>
  </si>
  <si>
    <t>MFSwift2x</t>
  </si>
  <si>
    <t>E2sha</t>
  </si>
  <si>
    <t>E3sha</t>
  </si>
  <si>
    <t>Double Lane Change</t>
  </si>
  <si>
    <t>Ice Patch</t>
  </si>
  <si>
    <t>Mallory Park</t>
  </si>
  <si>
    <t>Mallory Park CCW</t>
  </si>
  <si>
    <t>15DOF2MotC</t>
  </si>
  <si>
    <t>15DOF3MotC</t>
  </si>
  <si>
    <t>Rack</t>
  </si>
  <si>
    <t>RackWheel</t>
  </si>
  <si>
    <t>RackStaticShafts</t>
  </si>
  <si>
    <t>WheelDrivenRack</t>
  </si>
  <si>
    <t>ode3</t>
  </si>
  <si>
    <t>Turn</t>
  </si>
  <si>
    <t>Elula</t>
  </si>
  <si>
    <t>Thwala</t>
  </si>
  <si>
    <t>Trailer Disturbance</t>
  </si>
  <si>
    <t>TestrigPost</t>
  </si>
  <si>
    <t>Testrig 4 Post</t>
  </si>
  <si>
    <t>Skidpad</t>
  </si>
  <si>
    <t>Constant Radius Closed-Loop</t>
  </si>
  <si>
    <t>Delft</t>
  </si>
  <si>
    <t>RDF Plateau</t>
  </si>
  <si>
    <t>Plateau Z Only</t>
  </si>
  <si>
    <t>CRG Plateau</t>
  </si>
  <si>
    <t>RDF Rough Road</t>
  </si>
  <si>
    <t>Rough Road Z Only</t>
  </si>
  <si>
    <t>CRG Mallory Park</t>
  </si>
  <si>
    <t>CRG Mallory Park F</t>
  </si>
  <si>
    <t>Mallory Park Obstacle</t>
  </si>
  <si>
    <t>MCity</t>
  </si>
  <si>
    <t>CRG Kyalami</t>
  </si>
  <si>
    <t>CRG Kyalami F</t>
  </si>
  <si>
    <t>CRG Nurburgring N</t>
  </si>
  <si>
    <t>CRG Nurburgring N F</t>
  </si>
  <si>
    <t>CRG Suzuka</t>
  </si>
  <si>
    <t>CRG Suzuka F</t>
  </si>
  <si>
    <t>CRG Pikes Peak</t>
  </si>
  <si>
    <t>CRG Pikes Peak Down</t>
  </si>
  <si>
    <t>fwd3D</t>
  </si>
  <si>
    <t>Drive Cycle FTP75</t>
  </si>
  <si>
    <t>daessc</t>
  </si>
  <si>
    <t>Drive Cycle UrbanCycle1</t>
  </si>
  <si>
    <t>15DOF2Mot</t>
  </si>
  <si>
    <t>Axle3_000</t>
  </si>
  <si>
    <t>Makhulu3Axle</t>
  </si>
  <si>
    <t>6x2</t>
  </si>
  <si>
    <t>Axle3_008</t>
  </si>
  <si>
    <t>Amandla3Axle</t>
  </si>
  <si>
    <t>Axle3_003</t>
  </si>
  <si>
    <t>6x4</t>
  </si>
  <si>
    <t>Axle3_010</t>
  </si>
  <si>
    <t>Kumanzi</t>
  </si>
  <si>
    <t>Axle3_012</t>
  </si>
  <si>
    <t>6x2Gen</t>
  </si>
  <si>
    <t>28-Sep-2021 06:57:04</t>
  </si>
  <si>
    <t>MUC-VIDEOSTUDIO</t>
  </si>
  <si>
    <t>9.8.0.1380330 (R2020a) Update 2</t>
  </si>
  <si>
    <t>MF-Swift Version: 2021.1</t>
  </si>
  <si>
    <t>R21a v2p4 Mbody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</si>
</sst>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134E-643A-4157-8974-D43A7FBD24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4BE7F-6570-496E-918C-4A84E5A927CA}">
  <dimension ref="A1:R230"/>
  <sheetViews>
    <sheetView tabSelected="1" workbookViewId="0">
      <selection activeCell="R5" sqref="R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s="2" t="s">
        <v>108</v>
      </c>
    </row>
    <row r="2" spans="1:18" x14ac:dyDescent="0.25">
      <c r="A2">
        <v>1</v>
      </c>
      <c r="B2">
        <v>0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415</v>
      </c>
      <c r="L2">
        <v>9.9026320000000005</v>
      </c>
      <c r="M2">
        <v>233.82196453720474</v>
      </c>
      <c r="N2">
        <v>0.11962000457281796</v>
      </c>
      <c r="O2" s="1" t="str">
        <f>HYPERLINK(".\sm_car_210927_2323\sm_car_210927_2323_001_Ca000TrN_MaWOT_ode23t.png","figure")</f>
        <v>figure</v>
      </c>
      <c r="P2" t="s">
        <v>15</v>
      </c>
      <c r="R2" s="2" t="s">
        <v>109</v>
      </c>
    </row>
    <row r="3" spans="1:18" x14ac:dyDescent="0.25">
      <c r="A3">
        <v>2</v>
      </c>
      <c r="B3">
        <v>0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24</v>
      </c>
      <c r="J3" t="s">
        <v>23</v>
      </c>
      <c r="K3">
        <v>530</v>
      </c>
      <c r="L3">
        <v>11.5478764</v>
      </c>
      <c r="M3">
        <v>71.993979734683663</v>
      </c>
      <c r="N3">
        <v>-0.40011164983151215</v>
      </c>
      <c r="O3" s="1" t="str">
        <f>HYPERLINK(".\sm_car_210927_2323\sm_car_210927_2323_002_Ca000TrN_MaLSS_ode23t.png","figure")</f>
        <v>figure</v>
      </c>
      <c r="P3" t="s">
        <v>15</v>
      </c>
      <c r="R3" s="2" t="s">
        <v>110</v>
      </c>
    </row>
    <row r="4" spans="1:18" x14ac:dyDescent="0.25">
      <c r="A4">
        <v>3</v>
      </c>
      <c r="B4">
        <v>1</v>
      </c>
      <c r="C4" t="s">
        <v>16</v>
      </c>
      <c r="D4" t="s">
        <v>17</v>
      </c>
      <c r="E4" t="s">
        <v>18</v>
      </c>
      <c r="F4" t="s">
        <v>19</v>
      </c>
      <c r="G4" t="s">
        <v>25</v>
      </c>
      <c r="H4" t="s">
        <v>21</v>
      </c>
      <c r="I4" t="s">
        <v>22</v>
      </c>
      <c r="J4" t="s">
        <v>23</v>
      </c>
      <c r="K4">
        <v>393</v>
      </c>
      <c r="L4">
        <v>12.139620000000001</v>
      </c>
      <c r="M4">
        <v>232.73577344188402</v>
      </c>
      <c r="N4">
        <v>0.11498810088846488</v>
      </c>
      <c r="O4" s="1" t="str">
        <f>HYPERLINK(".\sm_car_210927_2323\sm_car_210927_2323_003_Ca001TrN_MaWOT_ode23t.png","figure")</f>
        <v>figure</v>
      </c>
      <c r="P4" t="s">
        <v>15</v>
      </c>
      <c r="R4" s="2" t="s">
        <v>111</v>
      </c>
    </row>
    <row r="5" spans="1:18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 t="s">
        <v>25</v>
      </c>
      <c r="H5" t="s">
        <v>21</v>
      </c>
      <c r="I5" t="s">
        <v>24</v>
      </c>
      <c r="J5" t="s">
        <v>23</v>
      </c>
      <c r="K5">
        <v>520</v>
      </c>
      <c r="L5">
        <v>14.297350700000001</v>
      </c>
      <c r="M5">
        <v>71.659680545779068</v>
      </c>
      <c r="N5">
        <v>-0.39489876635173732</v>
      </c>
      <c r="O5" s="1" t="str">
        <f>HYPERLINK(".\sm_car_210927_2323\sm_car_210927_2323_004_Ca001TrN_MaLSS_ode23t.png","figure")</f>
        <v>figure</v>
      </c>
      <c r="P5" t="s">
        <v>15</v>
      </c>
      <c r="R5" t="s">
        <v>112</v>
      </c>
    </row>
    <row r="6" spans="1:18" x14ac:dyDescent="0.25">
      <c r="A6">
        <v>5</v>
      </c>
      <c r="B6">
        <v>2</v>
      </c>
      <c r="C6" t="s">
        <v>16</v>
      </c>
      <c r="D6" t="s">
        <v>17</v>
      </c>
      <c r="E6" t="s">
        <v>18</v>
      </c>
      <c r="F6" t="s">
        <v>19</v>
      </c>
      <c r="G6" t="s">
        <v>26</v>
      </c>
      <c r="H6" t="s">
        <v>21</v>
      </c>
      <c r="I6" t="s">
        <v>22</v>
      </c>
      <c r="J6" t="s">
        <v>23</v>
      </c>
      <c r="K6">
        <v>391</v>
      </c>
      <c r="L6">
        <v>16.192921999999999</v>
      </c>
      <c r="M6">
        <v>232.87979738403217</v>
      </c>
      <c r="N6">
        <v>0.13817591090322992</v>
      </c>
      <c r="O6" s="1" t="str">
        <f>HYPERLINK(".\sm_car_210927_2323\sm_car_210927_2323_005_Ca002TrN_MaWOT_ode23t.png","figure")</f>
        <v>figure</v>
      </c>
      <c r="P6" t="s">
        <v>15</v>
      </c>
    </row>
    <row r="7" spans="1:18" x14ac:dyDescent="0.25">
      <c r="A7">
        <v>6</v>
      </c>
      <c r="B7">
        <v>2</v>
      </c>
      <c r="C7" t="s">
        <v>16</v>
      </c>
      <c r="D7" t="s">
        <v>17</v>
      </c>
      <c r="E7" t="s">
        <v>18</v>
      </c>
      <c r="F7" t="s">
        <v>19</v>
      </c>
      <c r="G7" t="s">
        <v>26</v>
      </c>
      <c r="H7" t="s">
        <v>21</v>
      </c>
      <c r="I7" t="s">
        <v>24</v>
      </c>
      <c r="J7" t="s">
        <v>23</v>
      </c>
      <c r="K7">
        <v>502</v>
      </c>
      <c r="L7">
        <v>17.5366201</v>
      </c>
      <c r="M7">
        <v>71.669164037835984</v>
      </c>
      <c r="N7">
        <v>-0.39426264781452552</v>
      </c>
      <c r="O7" s="1" t="str">
        <f>HYPERLINK(".\sm_car_210927_2323\sm_car_210927_2323_006_Ca002TrN_MaLSS_ode23t.png","figure")</f>
        <v>figure</v>
      </c>
      <c r="P7" t="s">
        <v>15</v>
      </c>
    </row>
    <row r="8" spans="1:18" x14ac:dyDescent="0.25">
      <c r="A8">
        <v>7</v>
      </c>
      <c r="B8">
        <v>3</v>
      </c>
      <c r="C8" t="s">
        <v>16</v>
      </c>
      <c r="D8" t="s">
        <v>17</v>
      </c>
      <c r="E8" t="s">
        <v>18</v>
      </c>
      <c r="F8" t="s">
        <v>19</v>
      </c>
      <c r="G8" t="s">
        <v>27</v>
      </c>
      <c r="H8" t="s">
        <v>21</v>
      </c>
      <c r="I8" t="s">
        <v>22</v>
      </c>
      <c r="J8" t="s">
        <v>23</v>
      </c>
      <c r="K8">
        <v>429</v>
      </c>
      <c r="L8">
        <v>16.919311199999999</v>
      </c>
      <c r="M8">
        <v>232.42205402696595</v>
      </c>
      <c r="N8">
        <v>0.13578909352633442</v>
      </c>
      <c r="O8" s="1" t="str">
        <f>HYPERLINK(".\sm_car_210927_2323\sm_car_210927_2323_007_Ca003TrN_MaWOT_ode23t.png","figure")</f>
        <v>figure</v>
      </c>
      <c r="P8" t="s">
        <v>15</v>
      </c>
    </row>
    <row r="9" spans="1:18" x14ac:dyDescent="0.25">
      <c r="A9">
        <v>8</v>
      </c>
      <c r="B9">
        <v>3</v>
      </c>
      <c r="C9" t="s">
        <v>16</v>
      </c>
      <c r="D9" t="s">
        <v>17</v>
      </c>
      <c r="E9" t="s">
        <v>18</v>
      </c>
      <c r="F9" t="s">
        <v>19</v>
      </c>
      <c r="G9" t="s">
        <v>27</v>
      </c>
      <c r="H9" t="s">
        <v>21</v>
      </c>
      <c r="I9" t="s">
        <v>24</v>
      </c>
      <c r="J9" t="s">
        <v>23</v>
      </c>
      <c r="K9">
        <v>534</v>
      </c>
      <c r="L9">
        <v>17.549524600000002</v>
      </c>
      <c r="M9">
        <v>71.536055414284036</v>
      </c>
      <c r="N9">
        <v>-0.3907776556714217</v>
      </c>
      <c r="O9" s="1" t="str">
        <f>HYPERLINK(".\sm_car_210927_2323\sm_car_210927_2323_008_Ca003TrN_MaLSS_ode23t.png","figure")</f>
        <v>figure</v>
      </c>
      <c r="P9" t="s">
        <v>15</v>
      </c>
    </row>
    <row r="10" spans="1:18" x14ac:dyDescent="0.25">
      <c r="A10">
        <v>9</v>
      </c>
      <c r="B10">
        <v>4</v>
      </c>
      <c r="C10" t="s">
        <v>16</v>
      </c>
      <c r="D10" t="s">
        <v>17</v>
      </c>
      <c r="E10" t="s">
        <v>18</v>
      </c>
      <c r="F10" t="s">
        <v>28</v>
      </c>
      <c r="G10" t="s">
        <v>20</v>
      </c>
      <c r="H10" t="s">
        <v>21</v>
      </c>
      <c r="I10" t="s">
        <v>22</v>
      </c>
      <c r="J10" t="s">
        <v>23</v>
      </c>
      <c r="K10">
        <v>1114</v>
      </c>
      <c r="L10">
        <v>18.1537012</v>
      </c>
      <c r="M10">
        <v>233.89977485561195</v>
      </c>
      <c r="N10">
        <v>0.11901741587395999</v>
      </c>
      <c r="O10" s="1" t="str">
        <f>HYPERLINK(".\sm_car_210927_2323\sm_car_210927_2323_009_Ca004TrN_MaWOT_ode23t.png","figure")</f>
        <v>figure</v>
      </c>
      <c r="P10" t="s">
        <v>15</v>
      </c>
    </row>
    <row r="11" spans="1:18" x14ac:dyDescent="0.25">
      <c r="A11">
        <v>10</v>
      </c>
      <c r="B11">
        <v>4</v>
      </c>
      <c r="C11" t="s">
        <v>16</v>
      </c>
      <c r="D11" t="s">
        <v>17</v>
      </c>
      <c r="E11" t="s">
        <v>18</v>
      </c>
      <c r="F11" t="s">
        <v>28</v>
      </c>
      <c r="G11" t="s">
        <v>20</v>
      </c>
      <c r="H11" t="s">
        <v>21</v>
      </c>
      <c r="I11" t="s">
        <v>24</v>
      </c>
      <c r="J11" t="s">
        <v>23</v>
      </c>
      <c r="K11">
        <v>1233</v>
      </c>
      <c r="L11">
        <v>21.782167900000001</v>
      </c>
      <c r="M11">
        <v>71.984839666555629</v>
      </c>
      <c r="N11">
        <v>-0.4010934801137585</v>
      </c>
      <c r="O11" s="1" t="str">
        <f>HYPERLINK(".\sm_car_210927_2323\sm_car_210927_2323_010_Ca004TrN_MaLSS_ode23t.png","figure")</f>
        <v>figure</v>
      </c>
      <c r="P11" t="s">
        <v>15</v>
      </c>
    </row>
    <row r="12" spans="1:18" x14ac:dyDescent="0.25">
      <c r="A12">
        <v>11</v>
      </c>
      <c r="B12">
        <v>5</v>
      </c>
      <c r="C12" t="s">
        <v>16</v>
      </c>
      <c r="D12" t="s">
        <v>17</v>
      </c>
      <c r="E12" t="s">
        <v>18</v>
      </c>
      <c r="F12" t="s">
        <v>28</v>
      </c>
      <c r="G12" t="s">
        <v>25</v>
      </c>
      <c r="H12" t="s">
        <v>21</v>
      </c>
      <c r="I12" t="s">
        <v>22</v>
      </c>
      <c r="J12" t="s">
        <v>23</v>
      </c>
      <c r="K12">
        <v>1127</v>
      </c>
      <c r="L12">
        <v>21.1383993</v>
      </c>
      <c r="M12">
        <v>232.72630460209234</v>
      </c>
      <c r="N12">
        <v>0.11472170817724796</v>
      </c>
      <c r="O12" s="1" t="str">
        <f>HYPERLINK(".\sm_car_210927_2323\sm_car_210927_2323_011_Ca005TrN_MaWOT_ode23t.png","figure")</f>
        <v>figure</v>
      </c>
      <c r="P12" t="s">
        <v>15</v>
      </c>
    </row>
    <row r="13" spans="1:18" x14ac:dyDescent="0.25">
      <c r="A13">
        <v>12</v>
      </c>
      <c r="B13">
        <v>5</v>
      </c>
      <c r="C13" t="s">
        <v>16</v>
      </c>
      <c r="D13" t="s">
        <v>17</v>
      </c>
      <c r="E13" t="s">
        <v>18</v>
      </c>
      <c r="F13" t="s">
        <v>28</v>
      </c>
      <c r="G13" t="s">
        <v>25</v>
      </c>
      <c r="H13" t="s">
        <v>21</v>
      </c>
      <c r="I13" t="s">
        <v>24</v>
      </c>
      <c r="J13" t="s">
        <v>23</v>
      </c>
      <c r="K13">
        <v>1244</v>
      </c>
      <c r="L13">
        <v>21.726628999999999</v>
      </c>
      <c r="M13">
        <v>71.695173831571523</v>
      </c>
      <c r="N13">
        <v>-0.39483872210500465</v>
      </c>
      <c r="O13" s="1" t="str">
        <f>HYPERLINK(".\sm_car_210927_2323\sm_car_210927_2323_012_Ca005TrN_MaLSS_ode23t.png","figure")</f>
        <v>figure</v>
      </c>
      <c r="P13" t="s">
        <v>15</v>
      </c>
    </row>
    <row r="14" spans="1:18" x14ac:dyDescent="0.25">
      <c r="A14">
        <v>13</v>
      </c>
      <c r="B14">
        <v>6</v>
      </c>
      <c r="C14" t="s">
        <v>16</v>
      </c>
      <c r="D14" t="s">
        <v>17</v>
      </c>
      <c r="E14" t="s">
        <v>18</v>
      </c>
      <c r="F14" t="s">
        <v>28</v>
      </c>
      <c r="G14" t="s">
        <v>26</v>
      </c>
      <c r="H14" t="s">
        <v>21</v>
      </c>
      <c r="I14" t="s">
        <v>22</v>
      </c>
      <c r="J14" t="s">
        <v>23</v>
      </c>
      <c r="K14">
        <v>1171</v>
      </c>
      <c r="L14">
        <v>28.9297076</v>
      </c>
      <c r="M14">
        <v>232.86003084580693</v>
      </c>
      <c r="N14">
        <v>0.14117493865968211</v>
      </c>
      <c r="O14" s="1" t="str">
        <f>HYPERLINK(".\sm_car_210927_2323\sm_car_210927_2323_013_Ca006TrN_MaWOT_ode23t.png","figure")</f>
        <v>figure</v>
      </c>
      <c r="P14" t="s">
        <v>15</v>
      </c>
    </row>
    <row r="15" spans="1:18" x14ac:dyDescent="0.25">
      <c r="A15">
        <v>14</v>
      </c>
      <c r="B15">
        <v>6</v>
      </c>
      <c r="C15" t="s">
        <v>16</v>
      </c>
      <c r="D15" t="s">
        <v>17</v>
      </c>
      <c r="E15" t="s">
        <v>18</v>
      </c>
      <c r="F15" t="s">
        <v>28</v>
      </c>
      <c r="G15" t="s">
        <v>26</v>
      </c>
      <c r="H15" t="s">
        <v>21</v>
      </c>
      <c r="I15" t="s">
        <v>24</v>
      </c>
      <c r="J15" t="s">
        <v>23</v>
      </c>
      <c r="K15">
        <v>1267</v>
      </c>
      <c r="L15">
        <v>27.011398</v>
      </c>
      <c r="M15">
        <v>71.699109587120518</v>
      </c>
      <c r="N15">
        <v>-0.39611495834408733</v>
      </c>
      <c r="O15" s="1" t="str">
        <f>HYPERLINK(".\sm_car_210927_2323\sm_car_210927_2323_014_Ca006TrN_MaLSS_ode23t.png","figure")</f>
        <v>figure</v>
      </c>
      <c r="P15" t="s">
        <v>15</v>
      </c>
    </row>
    <row r="16" spans="1:18" x14ac:dyDescent="0.25">
      <c r="A16">
        <v>15</v>
      </c>
      <c r="B16">
        <v>7</v>
      </c>
      <c r="C16" t="s">
        <v>16</v>
      </c>
      <c r="D16" t="s">
        <v>17</v>
      </c>
      <c r="E16" t="s">
        <v>18</v>
      </c>
      <c r="F16" t="s">
        <v>28</v>
      </c>
      <c r="G16" t="s">
        <v>27</v>
      </c>
      <c r="H16" t="s">
        <v>21</v>
      </c>
      <c r="I16" t="s">
        <v>22</v>
      </c>
      <c r="J16" t="s">
        <v>23</v>
      </c>
      <c r="K16">
        <v>1177</v>
      </c>
      <c r="L16">
        <v>28.542987499999999</v>
      </c>
      <c r="M16">
        <v>232.34542134903245</v>
      </c>
      <c r="N16">
        <v>0.1355830591225341</v>
      </c>
      <c r="O16" s="1" t="str">
        <f>HYPERLINK(".\sm_car_210927_2323\sm_car_210927_2323_015_Ca007TrN_MaWOT_ode23t.png","figure")</f>
        <v>figure</v>
      </c>
      <c r="P16" t="s">
        <v>15</v>
      </c>
    </row>
    <row r="17" spans="1:16" x14ac:dyDescent="0.25">
      <c r="A17">
        <v>16</v>
      </c>
      <c r="B17">
        <v>7</v>
      </c>
      <c r="C17" t="s">
        <v>16</v>
      </c>
      <c r="D17" t="s">
        <v>17</v>
      </c>
      <c r="E17" t="s">
        <v>18</v>
      </c>
      <c r="F17" t="s">
        <v>28</v>
      </c>
      <c r="G17" t="s">
        <v>27</v>
      </c>
      <c r="H17" t="s">
        <v>21</v>
      </c>
      <c r="I17" t="s">
        <v>24</v>
      </c>
      <c r="J17" t="s">
        <v>23</v>
      </c>
      <c r="K17">
        <v>1273</v>
      </c>
      <c r="L17">
        <v>30.7023887</v>
      </c>
      <c r="M17">
        <v>71.559584744748577</v>
      </c>
      <c r="N17">
        <v>-0.39281382088106942</v>
      </c>
      <c r="O17" s="1" t="str">
        <f>HYPERLINK(".\sm_car_210927_2323\sm_car_210927_2323_016_Ca007TrN_MaLSS_ode23t.png","figure")</f>
        <v>figure</v>
      </c>
      <c r="P17" t="s">
        <v>15</v>
      </c>
    </row>
    <row r="18" spans="1:16" x14ac:dyDescent="0.25">
      <c r="A18">
        <v>17</v>
      </c>
      <c r="B18">
        <v>16</v>
      </c>
      <c r="C18" t="s">
        <v>16</v>
      </c>
      <c r="D18" t="s">
        <v>29</v>
      </c>
      <c r="E18" t="s">
        <v>18</v>
      </c>
      <c r="F18" t="s">
        <v>19</v>
      </c>
      <c r="G18" t="s">
        <v>20</v>
      </c>
      <c r="H18" t="s">
        <v>21</v>
      </c>
      <c r="I18" t="s">
        <v>22</v>
      </c>
      <c r="J18" t="s">
        <v>23</v>
      </c>
      <c r="K18">
        <v>386</v>
      </c>
      <c r="L18">
        <v>10.1596636</v>
      </c>
      <c r="M18">
        <v>234.60066429012912</v>
      </c>
      <c r="N18">
        <v>-0.21945227565275185</v>
      </c>
      <c r="O18" s="1" t="str">
        <f>HYPERLINK(".\sm_car_210927_2323\sm_car_210927_2323_017_Ca016TrN_MaWOT_ode23t.png","figure")</f>
        <v>figure</v>
      </c>
      <c r="P18" t="s">
        <v>15</v>
      </c>
    </row>
    <row r="19" spans="1:16" x14ac:dyDescent="0.25">
      <c r="A19">
        <v>18</v>
      </c>
      <c r="B19">
        <v>16</v>
      </c>
      <c r="C19" t="s">
        <v>16</v>
      </c>
      <c r="D19" t="s">
        <v>29</v>
      </c>
      <c r="E19" t="s">
        <v>18</v>
      </c>
      <c r="F19" t="s">
        <v>19</v>
      </c>
      <c r="G19" t="s">
        <v>20</v>
      </c>
      <c r="H19" t="s">
        <v>21</v>
      </c>
      <c r="I19" t="s">
        <v>24</v>
      </c>
      <c r="J19" t="s">
        <v>23</v>
      </c>
      <c r="K19">
        <v>462</v>
      </c>
      <c r="L19">
        <v>10.500777899999999</v>
      </c>
      <c r="M19">
        <v>72.283900551889147</v>
      </c>
      <c r="N19">
        <v>-3.2814650165641508E-2</v>
      </c>
      <c r="O19" s="1" t="str">
        <f>HYPERLINK(".\sm_car_210927_2323\sm_car_210927_2323_018_Ca016TrN_MaLSS_ode23t.png","figure")</f>
        <v>figure</v>
      </c>
      <c r="P19" t="s">
        <v>15</v>
      </c>
    </row>
    <row r="20" spans="1:16" x14ac:dyDescent="0.25">
      <c r="A20">
        <v>19</v>
      </c>
      <c r="B20">
        <v>32</v>
      </c>
      <c r="C20" t="s">
        <v>16</v>
      </c>
      <c r="D20" t="s">
        <v>30</v>
      </c>
      <c r="E20" t="s">
        <v>18</v>
      </c>
      <c r="F20" t="s">
        <v>19</v>
      </c>
      <c r="G20" t="s">
        <v>20</v>
      </c>
      <c r="H20" t="s">
        <v>21</v>
      </c>
      <c r="I20" t="s">
        <v>22</v>
      </c>
      <c r="J20" t="s">
        <v>23</v>
      </c>
      <c r="K20">
        <v>380</v>
      </c>
      <c r="L20">
        <v>12.2841339</v>
      </c>
      <c r="M20">
        <v>233.70747767834172</v>
      </c>
      <c r="N20">
        <v>0.12647034967516765</v>
      </c>
      <c r="O20" s="1" t="str">
        <f>HYPERLINK(".\sm_car_210927_2323\sm_car_210927_2323_019_Ca032TrN_MaWOT_ode23t.png","figure")</f>
        <v>figure</v>
      </c>
      <c r="P20" t="s">
        <v>15</v>
      </c>
    </row>
    <row r="21" spans="1:16" x14ac:dyDescent="0.25">
      <c r="A21">
        <v>20</v>
      </c>
      <c r="B21">
        <v>32</v>
      </c>
      <c r="C21" t="s">
        <v>16</v>
      </c>
      <c r="D21" t="s">
        <v>30</v>
      </c>
      <c r="E21" t="s">
        <v>18</v>
      </c>
      <c r="F21" t="s">
        <v>19</v>
      </c>
      <c r="G21" t="s">
        <v>20</v>
      </c>
      <c r="H21" t="s">
        <v>21</v>
      </c>
      <c r="I21" t="s">
        <v>24</v>
      </c>
      <c r="J21" t="s">
        <v>23</v>
      </c>
      <c r="K21">
        <v>491</v>
      </c>
      <c r="L21">
        <v>14.2008969</v>
      </c>
      <c r="M21">
        <v>71.966339886024599</v>
      </c>
      <c r="N21">
        <v>-0.40640332847072108</v>
      </c>
      <c r="O21" s="1" t="str">
        <f>HYPERLINK(".\sm_car_210927_2323\sm_car_210927_2323_020_Ca032TrN_MaLSS_ode23t.png","figure")</f>
        <v>figure</v>
      </c>
      <c r="P21" t="s">
        <v>15</v>
      </c>
    </row>
    <row r="22" spans="1:16" x14ac:dyDescent="0.25">
      <c r="A22">
        <v>21</v>
      </c>
      <c r="B22">
        <v>48</v>
      </c>
      <c r="C22" t="s">
        <v>16</v>
      </c>
      <c r="D22" t="s">
        <v>31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>
        <v>393</v>
      </c>
      <c r="L22">
        <v>13.1405903</v>
      </c>
      <c r="M22">
        <v>233.77479259545834</v>
      </c>
      <c r="N22">
        <v>0.12825747903137821</v>
      </c>
      <c r="O22" s="1" t="str">
        <f>HYPERLINK(".\sm_car_210927_2323\sm_car_210927_2323_021_Ca048TrN_MaWOT_ode23t.png","figure")</f>
        <v>figure</v>
      </c>
      <c r="P22" t="s">
        <v>15</v>
      </c>
    </row>
    <row r="23" spans="1:16" x14ac:dyDescent="0.25">
      <c r="A23">
        <v>22</v>
      </c>
      <c r="B23">
        <v>48</v>
      </c>
      <c r="C23" t="s">
        <v>16</v>
      </c>
      <c r="D23" t="s">
        <v>31</v>
      </c>
      <c r="E23" t="s">
        <v>18</v>
      </c>
      <c r="F23" t="s">
        <v>19</v>
      </c>
      <c r="G23" t="s">
        <v>20</v>
      </c>
      <c r="H23" t="s">
        <v>21</v>
      </c>
      <c r="I23" t="s">
        <v>24</v>
      </c>
      <c r="J23" t="s">
        <v>23</v>
      </c>
      <c r="K23">
        <v>484</v>
      </c>
      <c r="L23">
        <v>13.346626799999999</v>
      </c>
      <c r="M23">
        <v>71.962310407396217</v>
      </c>
      <c r="N23">
        <v>-0.40666418851058861</v>
      </c>
      <c r="O23" s="1" t="str">
        <f>HYPERLINK(".\sm_car_210927_2323\sm_car_210927_2323_022_Ca048TrN_MaLSS_ode23t.png","figure")</f>
        <v>figure</v>
      </c>
      <c r="P23" t="s">
        <v>15</v>
      </c>
    </row>
    <row r="24" spans="1:16" x14ac:dyDescent="0.25">
      <c r="A24">
        <v>23</v>
      </c>
      <c r="B24">
        <v>64</v>
      </c>
      <c r="C24" t="s">
        <v>16</v>
      </c>
      <c r="D24" t="s">
        <v>32</v>
      </c>
      <c r="E24" t="s">
        <v>18</v>
      </c>
      <c r="F24" t="s">
        <v>19</v>
      </c>
      <c r="G24" t="s">
        <v>20</v>
      </c>
      <c r="H24" t="s">
        <v>21</v>
      </c>
      <c r="I24" t="s">
        <v>22</v>
      </c>
      <c r="J24" t="s">
        <v>23</v>
      </c>
      <c r="K24">
        <v>394</v>
      </c>
      <c r="L24">
        <v>16.337286899999999</v>
      </c>
      <c r="M24">
        <v>233.67393579695906</v>
      </c>
      <c r="N24">
        <v>0.1271403963566618</v>
      </c>
      <c r="O24" s="1" t="str">
        <f>HYPERLINK(".\sm_car_210927_2323\sm_car_210927_2323_023_Ca064TrN_MaWOT_ode23t.png","figure")</f>
        <v>figure</v>
      </c>
      <c r="P24" t="s">
        <v>15</v>
      </c>
    </row>
    <row r="25" spans="1:16" x14ac:dyDescent="0.25">
      <c r="A25">
        <v>24</v>
      </c>
      <c r="B25">
        <v>64</v>
      </c>
      <c r="C25" t="s">
        <v>16</v>
      </c>
      <c r="D25" t="s">
        <v>32</v>
      </c>
      <c r="E25" t="s">
        <v>18</v>
      </c>
      <c r="F25" t="s">
        <v>19</v>
      </c>
      <c r="G25" t="s">
        <v>20</v>
      </c>
      <c r="H25" t="s">
        <v>21</v>
      </c>
      <c r="I25" t="s">
        <v>24</v>
      </c>
      <c r="J25" t="s">
        <v>23</v>
      </c>
      <c r="K25">
        <v>502</v>
      </c>
      <c r="L25">
        <v>17.423774099999999</v>
      </c>
      <c r="M25">
        <v>71.954519317761878</v>
      </c>
      <c r="N25">
        <v>-0.41394254653996509</v>
      </c>
      <c r="O25" s="1" t="str">
        <f>HYPERLINK(".\sm_car_210927_2323\sm_car_210927_2323_024_Ca064TrN_MaLSS_ode23t.png","figure")</f>
        <v>figure</v>
      </c>
      <c r="P25" t="s">
        <v>15</v>
      </c>
    </row>
    <row r="26" spans="1:16" x14ac:dyDescent="0.25">
      <c r="A26">
        <v>25</v>
      </c>
      <c r="B26">
        <v>80</v>
      </c>
      <c r="C26" t="s">
        <v>16</v>
      </c>
      <c r="D26" t="s">
        <v>33</v>
      </c>
      <c r="E26" t="s">
        <v>18</v>
      </c>
      <c r="F26" t="s">
        <v>19</v>
      </c>
      <c r="G26" t="s">
        <v>20</v>
      </c>
      <c r="H26" t="s">
        <v>21</v>
      </c>
      <c r="I26" t="s">
        <v>22</v>
      </c>
      <c r="J26" t="s">
        <v>23</v>
      </c>
      <c r="K26">
        <v>385</v>
      </c>
      <c r="L26">
        <v>14.976761099999999</v>
      </c>
      <c r="M26">
        <v>233.99328341844921</v>
      </c>
      <c r="N26">
        <v>0.12241276251911508</v>
      </c>
      <c r="O26" s="1" t="str">
        <f>HYPERLINK(".\sm_car_210927_2323\sm_car_210927_2323_025_Ca080TrN_MaWOT_ode23t.png","figure")</f>
        <v>figure</v>
      </c>
      <c r="P26" t="s">
        <v>15</v>
      </c>
    </row>
    <row r="27" spans="1:16" x14ac:dyDescent="0.25">
      <c r="A27">
        <v>26</v>
      </c>
      <c r="B27">
        <v>80</v>
      </c>
      <c r="C27" t="s">
        <v>16</v>
      </c>
      <c r="D27" t="s">
        <v>33</v>
      </c>
      <c r="E27" t="s">
        <v>18</v>
      </c>
      <c r="F27" t="s">
        <v>19</v>
      </c>
      <c r="G27" t="s">
        <v>20</v>
      </c>
      <c r="H27" t="s">
        <v>21</v>
      </c>
      <c r="I27" t="s">
        <v>24</v>
      </c>
      <c r="J27" t="s">
        <v>23</v>
      </c>
      <c r="K27">
        <v>487</v>
      </c>
      <c r="L27">
        <v>15.582607400000001</v>
      </c>
      <c r="M27">
        <v>72.022060849574601</v>
      </c>
      <c r="N27">
        <v>-0.41390940287141026</v>
      </c>
      <c r="O27" s="1" t="str">
        <f>HYPERLINK(".\sm_car_210927_2323\sm_car_210927_2323_026_Ca080TrN_MaLSS_ode23t.png","figure")</f>
        <v>figure</v>
      </c>
      <c r="P27" t="s">
        <v>15</v>
      </c>
    </row>
    <row r="28" spans="1:16" x14ac:dyDescent="0.25">
      <c r="A28">
        <v>27</v>
      </c>
      <c r="B28">
        <v>96</v>
      </c>
      <c r="C28" t="s">
        <v>16</v>
      </c>
      <c r="D28" t="s">
        <v>34</v>
      </c>
      <c r="E28" t="s">
        <v>18</v>
      </c>
      <c r="F28" t="s">
        <v>19</v>
      </c>
      <c r="G28" t="s">
        <v>20</v>
      </c>
      <c r="H28" t="s">
        <v>21</v>
      </c>
      <c r="I28" t="s">
        <v>22</v>
      </c>
      <c r="J28" t="s">
        <v>23</v>
      </c>
      <c r="K28">
        <v>395</v>
      </c>
      <c r="L28">
        <v>10.5845707</v>
      </c>
      <c r="M28">
        <v>235.80843467793827</v>
      </c>
      <c r="N28">
        <v>0.13175516858360459</v>
      </c>
      <c r="O28" s="1" t="str">
        <f>HYPERLINK(".\sm_car_210927_2323\sm_car_210927_2323_027_Ca096TrN_MaWOT_ode23t.png","figure")</f>
        <v>figure</v>
      </c>
      <c r="P28" t="s">
        <v>15</v>
      </c>
    </row>
    <row r="29" spans="1:16" x14ac:dyDescent="0.25">
      <c r="A29">
        <v>28</v>
      </c>
      <c r="B29">
        <v>96</v>
      </c>
      <c r="C29" t="s">
        <v>16</v>
      </c>
      <c r="D29" t="s">
        <v>34</v>
      </c>
      <c r="E29" t="s">
        <v>18</v>
      </c>
      <c r="F29" t="s">
        <v>19</v>
      </c>
      <c r="G29" t="s">
        <v>20</v>
      </c>
      <c r="H29" t="s">
        <v>21</v>
      </c>
      <c r="I29" t="s">
        <v>24</v>
      </c>
      <c r="J29" t="s">
        <v>23</v>
      </c>
      <c r="K29">
        <v>492</v>
      </c>
      <c r="L29">
        <v>11.5085003</v>
      </c>
      <c r="M29">
        <v>72.55059259537677</v>
      </c>
      <c r="N29">
        <v>-0.4230871858216137</v>
      </c>
      <c r="O29" s="1" t="str">
        <f>HYPERLINK(".\sm_car_210927_2323\sm_car_210927_2323_028_Ca096TrN_MaLSS_ode23t.png","figure")</f>
        <v>figure</v>
      </c>
      <c r="P29" t="s">
        <v>15</v>
      </c>
    </row>
    <row r="30" spans="1:16" x14ac:dyDescent="0.25">
      <c r="A30">
        <v>29</v>
      </c>
      <c r="B30">
        <v>112</v>
      </c>
      <c r="C30" t="s">
        <v>16</v>
      </c>
      <c r="D30" t="s">
        <v>35</v>
      </c>
      <c r="E30" t="s">
        <v>18</v>
      </c>
      <c r="F30" t="s">
        <v>19</v>
      </c>
      <c r="G30" t="s">
        <v>20</v>
      </c>
      <c r="H30" t="s">
        <v>21</v>
      </c>
      <c r="I30" t="s">
        <v>22</v>
      </c>
      <c r="J30" t="s">
        <v>23</v>
      </c>
      <c r="K30">
        <v>414</v>
      </c>
      <c r="L30">
        <v>4.9711143</v>
      </c>
      <c r="M30">
        <v>242.57270287272453</v>
      </c>
      <c r="N30">
        <v>0.23269691381259267</v>
      </c>
      <c r="O30" s="1" t="str">
        <f>HYPERLINK(".\sm_car_210927_2323\sm_car_210927_2323_029_Ca112TrN_MaWOT_ode23t.png","figure")</f>
        <v>figure</v>
      </c>
      <c r="P30" t="s">
        <v>15</v>
      </c>
    </row>
    <row r="31" spans="1:16" x14ac:dyDescent="0.25">
      <c r="A31">
        <v>30</v>
      </c>
      <c r="B31">
        <v>112</v>
      </c>
      <c r="C31" t="s">
        <v>16</v>
      </c>
      <c r="D31" t="s">
        <v>35</v>
      </c>
      <c r="E31" t="s">
        <v>18</v>
      </c>
      <c r="F31" t="s">
        <v>19</v>
      </c>
      <c r="G31" t="s">
        <v>20</v>
      </c>
      <c r="H31" t="s">
        <v>21</v>
      </c>
      <c r="I31" t="s">
        <v>24</v>
      </c>
      <c r="J31" t="s">
        <v>23</v>
      </c>
      <c r="K31">
        <v>511</v>
      </c>
      <c r="L31">
        <v>5.0733918999999998</v>
      </c>
      <c r="M31">
        <v>74.664850655759011</v>
      </c>
      <c r="N31">
        <v>-0.33874163925084261</v>
      </c>
      <c r="O31" s="1" t="str">
        <f>HYPERLINK(".\sm_car_210927_2323\sm_car_210927_2323_030_Ca112TrN_MaLSS_ode23t.png","figure")</f>
        <v>figure</v>
      </c>
      <c r="P31" t="s">
        <v>15</v>
      </c>
    </row>
    <row r="32" spans="1:16" x14ac:dyDescent="0.25">
      <c r="A32">
        <v>31</v>
      </c>
      <c r="B32">
        <v>113</v>
      </c>
      <c r="C32" t="s">
        <v>16</v>
      </c>
      <c r="D32" t="s">
        <v>35</v>
      </c>
      <c r="E32" t="s">
        <v>18</v>
      </c>
      <c r="F32" t="s">
        <v>19</v>
      </c>
      <c r="G32" t="s">
        <v>25</v>
      </c>
      <c r="H32" t="s">
        <v>21</v>
      </c>
      <c r="I32" t="s">
        <v>22</v>
      </c>
      <c r="J32" t="s">
        <v>23</v>
      </c>
      <c r="K32">
        <v>414</v>
      </c>
      <c r="L32">
        <v>5.3186641999999997</v>
      </c>
      <c r="M32">
        <v>241.29025695992459</v>
      </c>
      <c r="N32">
        <v>0.22927920768483195</v>
      </c>
      <c r="O32" s="1" t="str">
        <f>HYPERLINK(".\sm_car_210927_2323\sm_car_210927_2323_031_Ca113TrN_MaWOT_ode23t.png","figure")</f>
        <v>figure</v>
      </c>
      <c r="P32" t="s">
        <v>15</v>
      </c>
    </row>
    <row r="33" spans="1:16" x14ac:dyDescent="0.25">
      <c r="A33">
        <v>32</v>
      </c>
      <c r="B33">
        <v>113</v>
      </c>
      <c r="C33" t="s">
        <v>16</v>
      </c>
      <c r="D33" t="s">
        <v>35</v>
      </c>
      <c r="E33" t="s">
        <v>18</v>
      </c>
      <c r="F33" t="s">
        <v>19</v>
      </c>
      <c r="G33" t="s">
        <v>25</v>
      </c>
      <c r="H33" t="s">
        <v>21</v>
      </c>
      <c r="I33" t="s">
        <v>24</v>
      </c>
      <c r="J33" t="s">
        <v>23</v>
      </c>
      <c r="K33">
        <v>530</v>
      </c>
      <c r="L33">
        <v>5.7902582999999996</v>
      </c>
      <c r="M33">
        <v>74.340683086577158</v>
      </c>
      <c r="N33">
        <v>-0.33418088073047814</v>
      </c>
      <c r="O33" s="1" t="str">
        <f>HYPERLINK(".\sm_car_210927_2323\sm_car_210927_2323_032_Ca113TrN_MaLSS_ode23t.png","figure")</f>
        <v>figure</v>
      </c>
      <c r="P33" t="s">
        <v>15</v>
      </c>
    </row>
    <row r="34" spans="1:16" x14ac:dyDescent="0.25">
      <c r="A34">
        <v>33</v>
      </c>
      <c r="B34">
        <v>114</v>
      </c>
      <c r="C34" t="s">
        <v>16</v>
      </c>
      <c r="D34" t="s">
        <v>35</v>
      </c>
      <c r="E34" t="s">
        <v>18</v>
      </c>
      <c r="F34" t="s">
        <v>19</v>
      </c>
      <c r="G34" t="s">
        <v>26</v>
      </c>
      <c r="H34" t="s">
        <v>21</v>
      </c>
      <c r="I34" t="s">
        <v>22</v>
      </c>
      <c r="J34" t="s">
        <v>23</v>
      </c>
      <c r="K34">
        <v>416</v>
      </c>
      <c r="L34">
        <v>6.6891989000000001</v>
      </c>
      <c r="M34">
        <v>241.48049540681023</v>
      </c>
      <c r="N34">
        <v>0.2287861010853498</v>
      </c>
      <c r="O34" s="1" t="str">
        <f>HYPERLINK(".\sm_car_210927_2323\sm_car_210927_2323_033_Ca114TrN_MaWOT_ode23t.png","figure")</f>
        <v>figure</v>
      </c>
      <c r="P34" t="s">
        <v>15</v>
      </c>
    </row>
    <row r="35" spans="1:16" x14ac:dyDescent="0.25">
      <c r="A35">
        <v>34</v>
      </c>
      <c r="B35">
        <v>114</v>
      </c>
      <c r="C35" t="s">
        <v>16</v>
      </c>
      <c r="D35" t="s">
        <v>35</v>
      </c>
      <c r="E35" t="s">
        <v>18</v>
      </c>
      <c r="F35" t="s">
        <v>19</v>
      </c>
      <c r="G35" t="s">
        <v>26</v>
      </c>
      <c r="H35" t="s">
        <v>21</v>
      </c>
      <c r="I35" t="s">
        <v>24</v>
      </c>
      <c r="J35" t="s">
        <v>23</v>
      </c>
      <c r="K35">
        <v>511</v>
      </c>
      <c r="L35">
        <v>6.9265122999999997</v>
      </c>
      <c r="M35">
        <v>74.34134436090099</v>
      </c>
      <c r="N35">
        <v>-0.32854733264793745</v>
      </c>
      <c r="O35" s="1" t="str">
        <f>HYPERLINK(".\sm_car_210927_2323\sm_car_210927_2323_034_Ca114TrN_MaLSS_ode23t.png","figure")</f>
        <v>figure</v>
      </c>
      <c r="P35" t="s">
        <v>15</v>
      </c>
    </row>
    <row r="36" spans="1:16" x14ac:dyDescent="0.25">
      <c r="A36">
        <v>35</v>
      </c>
      <c r="B36">
        <v>115</v>
      </c>
      <c r="C36" t="s">
        <v>16</v>
      </c>
      <c r="D36" t="s">
        <v>35</v>
      </c>
      <c r="E36" t="s">
        <v>18</v>
      </c>
      <c r="F36" t="s">
        <v>19</v>
      </c>
      <c r="G36" t="s">
        <v>27</v>
      </c>
      <c r="H36" t="s">
        <v>21</v>
      </c>
      <c r="I36" t="s">
        <v>22</v>
      </c>
      <c r="J36" t="s">
        <v>23</v>
      </c>
      <c r="K36">
        <v>404</v>
      </c>
      <c r="L36">
        <v>6.5503704999999997</v>
      </c>
      <c r="M36">
        <v>240.92129873543448</v>
      </c>
      <c r="N36">
        <v>0.22692210878969052</v>
      </c>
      <c r="O36" s="1" t="str">
        <f>HYPERLINK(".\sm_car_210927_2323\sm_car_210927_2323_035_Ca115TrN_MaWOT_ode23t.png","figure")</f>
        <v>figure</v>
      </c>
      <c r="P36" t="s">
        <v>15</v>
      </c>
    </row>
    <row r="37" spans="1:16" x14ac:dyDescent="0.25">
      <c r="A37">
        <v>36</v>
      </c>
      <c r="B37">
        <v>115</v>
      </c>
      <c r="C37" t="s">
        <v>16</v>
      </c>
      <c r="D37" t="s">
        <v>35</v>
      </c>
      <c r="E37" t="s">
        <v>18</v>
      </c>
      <c r="F37" t="s">
        <v>19</v>
      </c>
      <c r="G37" t="s">
        <v>27</v>
      </c>
      <c r="H37" t="s">
        <v>21</v>
      </c>
      <c r="I37" t="s">
        <v>24</v>
      </c>
      <c r="J37" t="s">
        <v>23</v>
      </c>
      <c r="K37">
        <v>513</v>
      </c>
      <c r="L37">
        <v>6.7801109000000004</v>
      </c>
      <c r="M37">
        <v>74.212645812103588</v>
      </c>
      <c r="N37">
        <v>-0.33018288848223387</v>
      </c>
      <c r="O37" s="1" t="str">
        <f>HYPERLINK(".\sm_car_210927_2323\sm_car_210927_2323_036_Ca115TrN_MaLSS_ode23t.png","figure")</f>
        <v>figure</v>
      </c>
      <c r="P37" t="s">
        <v>15</v>
      </c>
    </row>
    <row r="38" spans="1:16" x14ac:dyDescent="0.25">
      <c r="A38">
        <v>37</v>
      </c>
      <c r="B38">
        <v>116</v>
      </c>
      <c r="C38" t="s">
        <v>16</v>
      </c>
      <c r="D38" t="s">
        <v>35</v>
      </c>
      <c r="E38" t="s">
        <v>18</v>
      </c>
      <c r="F38" t="s">
        <v>28</v>
      </c>
      <c r="G38" t="s">
        <v>20</v>
      </c>
      <c r="H38" t="s">
        <v>21</v>
      </c>
      <c r="I38" t="s">
        <v>22</v>
      </c>
      <c r="J38" t="s">
        <v>23</v>
      </c>
      <c r="K38">
        <v>960</v>
      </c>
      <c r="L38">
        <v>7.2712572</v>
      </c>
      <c r="M38">
        <v>242.69226957746429</v>
      </c>
      <c r="N38">
        <v>0.23404446836112286</v>
      </c>
      <c r="O38" s="1" t="str">
        <f>HYPERLINK(".\sm_car_210927_2323\sm_car_210927_2323_037_Ca116TrN_MaWOT_ode23t.png","figure")</f>
        <v>figure</v>
      </c>
      <c r="P38" t="s">
        <v>15</v>
      </c>
    </row>
    <row r="39" spans="1:16" x14ac:dyDescent="0.25">
      <c r="A39">
        <v>38</v>
      </c>
      <c r="B39">
        <v>116</v>
      </c>
      <c r="C39" t="s">
        <v>16</v>
      </c>
      <c r="D39" t="s">
        <v>35</v>
      </c>
      <c r="E39" t="s">
        <v>18</v>
      </c>
      <c r="F39" t="s">
        <v>28</v>
      </c>
      <c r="G39" t="s">
        <v>20</v>
      </c>
      <c r="H39" t="s">
        <v>21</v>
      </c>
      <c r="I39" t="s">
        <v>24</v>
      </c>
      <c r="J39" t="s">
        <v>23</v>
      </c>
      <c r="K39">
        <v>1084</v>
      </c>
      <c r="L39">
        <v>8.7781254000000004</v>
      </c>
      <c r="M39">
        <v>74.663787418474683</v>
      </c>
      <c r="N39">
        <v>-0.34135118764080047</v>
      </c>
      <c r="O39" s="1" t="str">
        <f>HYPERLINK(".\sm_car_210927_2323\sm_car_210927_2323_038_Ca116TrN_MaLSS_ode23t.png","figure")</f>
        <v>figure</v>
      </c>
      <c r="P39" t="s">
        <v>15</v>
      </c>
    </row>
    <row r="40" spans="1:16" x14ac:dyDescent="0.25">
      <c r="A40">
        <v>39</v>
      </c>
      <c r="B40">
        <v>117</v>
      </c>
      <c r="C40" t="s">
        <v>16</v>
      </c>
      <c r="D40" t="s">
        <v>35</v>
      </c>
      <c r="E40" t="s">
        <v>18</v>
      </c>
      <c r="F40" t="s">
        <v>28</v>
      </c>
      <c r="G40" t="s">
        <v>25</v>
      </c>
      <c r="H40" t="s">
        <v>21</v>
      </c>
      <c r="I40" t="s">
        <v>22</v>
      </c>
      <c r="J40" t="s">
        <v>23</v>
      </c>
      <c r="K40">
        <v>957</v>
      </c>
      <c r="L40">
        <v>8.3189147000000006</v>
      </c>
      <c r="M40">
        <v>241.52176396276451</v>
      </c>
      <c r="N40">
        <v>0.2290422486000761</v>
      </c>
      <c r="O40" s="1" t="str">
        <f>HYPERLINK(".\sm_car_210927_2323\sm_car_210927_2323_039_Ca117TrN_MaWOT_ode23t.png","figure")</f>
        <v>figure</v>
      </c>
      <c r="P40" t="s">
        <v>15</v>
      </c>
    </row>
    <row r="41" spans="1:16" x14ac:dyDescent="0.25">
      <c r="A41">
        <v>40</v>
      </c>
      <c r="B41">
        <v>117</v>
      </c>
      <c r="C41" t="s">
        <v>16</v>
      </c>
      <c r="D41" t="s">
        <v>35</v>
      </c>
      <c r="E41" t="s">
        <v>18</v>
      </c>
      <c r="F41" t="s">
        <v>28</v>
      </c>
      <c r="G41" t="s">
        <v>25</v>
      </c>
      <c r="H41" t="s">
        <v>21</v>
      </c>
      <c r="I41" t="s">
        <v>24</v>
      </c>
      <c r="J41" t="s">
        <v>23</v>
      </c>
      <c r="K41">
        <v>1090</v>
      </c>
      <c r="L41">
        <v>9.7004012999999993</v>
      </c>
      <c r="M41">
        <v>74.353887586808099</v>
      </c>
      <c r="N41">
        <v>-0.33526252864101364</v>
      </c>
      <c r="O41" s="1" t="str">
        <f>HYPERLINK(".\sm_car_210927_2323\sm_car_210927_2323_040_Ca117TrN_MaLSS_ode23t.png","figure")</f>
        <v>figure</v>
      </c>
      <c r="P41" t="s">
        <v>15</v>
      </c>
    </row>
    <row r="42" spans="1:16" x14ac:dyDescent="0.25">
      <c r="A42">
        <v>41</v>
      </c>
      <c r="B42">
        <v>118</v>
      </c>
      <c r="C42" t="s">
        <v>16</v>
      </c>
      <c r="D42" t="s">
        <v>35</v>
      </c>
      <c r="E42" t="s">
        <v>18</v>
      </c>
      <c r="F42" t="s">
        <v>28</v>
      </c>
      <c r="G42" t="s">
        <v>26</v>
      </c>
      <c r="H42" t="s">
        <v>21</v>
      </c>
      <c r="I42" t="s">
        <v>22</v>
      </c>
      <c r="J42" t="s">
        <v>23</v>
      </c>
      <c r="K42">
        <v>979</v>
      </c>
      <c r="L42">
        <v>10.6618604</v>
      </c>
      <c r="M42">
        <v>241.47135871657687</v>
      </c>
      <c r="N42">
        <v>0.22963606609503323</v>
      </c>
      <c r="O42" s="1" t="str">
        <f>HYPERLINK(".\sm_car_210927_2323\sm_car_210927_2323_041_Ca118TrN_MaWOT_ode23t.png","figure")</f>
        <v>figure</v>
      </c>
      <c r="P42" t="s">
        <v>15</v>
      </c>
    </row>
    <row r="43" spans="1:16" x14ac:dyDescent="0.25">
      <c r="A43">
        <v>42</v>
      </c>
      <c r="B43">
        <v>118</v>
      </c>
      <c r="C43" t="s">
        <v>16</v>
      </c>
      <c r="D43" t="s">
        <v>35</v>
      </c>
      <c r="E43" t="s">
        <v>18</v>
      </c>
      <c r="F43" t="s">
        <v>28</v>
      </c>
      <c r="G43" t="s">
        <v>26</v>
      </c>
      <c r="H43" t="s">
        <v>21</v>
      </c>
      <c r="I43" t="s">
        <v>24</v>
      </c>
      <c r="J43" t="s">
        <v>23</v>
      </c>
      <c r="K43">
        <v>1108</v>
      </c>
      <c r="L43">
        <v>12.380759599999999</v>
      </c>
      <c r="M43">
        <v>74.341346379422177</v>
      </c>
      <c r="N43">
        <v>-0.33657232829271255</v>
      </c>
      <c r="O43" s="1" t="str">
        <f>HYPERLINK(".\sm_car_210927_2323\sm_car_210927_2323_042_Ca118TrN_MaLSS_ode23t.png","figure")</f>
        <v>figure</v>
      </c>
      <c r="P43" t="s">
        <v>15</v>
      </c>
    </row>
    <row r="44" spans="1:16" x14ac:dyDescent="0.25">
      <c r="A44">
        <v>43</v>
      </c>
      <c r="B44">
        <v>119</v>
      </c>
      <c r="C44" t="s">
        <v>16</v>
      </c>
      <c r="D44" t="s">
        <v>35</v>
      </c>
      <c r="E44" t="s">
        <v>18</v>
      </c>
      <c r="F44" t="s">
        <v>28</v>
      </c>
      <c r="G44" t="s">
        <v>27</v>
      </c>
      <c r="H44" t="s">
        <v>21</v>
      </c>
      <c r="I44" t="s">
        <v>22</v>
      </c>
      <c r="J44" t="s">
        <v>23</v>
      </c>
      <c r="K44">
        <v>1018</v>
      </c>
      <c r="L44">
        <v>11.3214562</v>
      </c>
      <c r="M44">
        <v>241.13635695784993</v>
      </c>
      <c r="N44">
        <v>0.22835956655022219</v>
      </c>
      <c r="O44" s="1" t="str">
        <f>HYPERLINK(".\sm_car_210927_2323\sm_car_210927_2323_043_Ca119TrN_MaWOT_ode23t.png","figure")</f>
        <v>figure</v>
      </c>
      <c r="P44" t="s">
        <v>15</v>
      </c>
    </row>
    <row r="45" spans="1:16" x14ac:dyDescent="0.25">
      <c r="A45">
        <v>44</v>
      </c>
      <c r="B45">
        <v>119</v>
      </c>
      <c r="C45" t="s">
        <v>16</v>
      </c>
      <c r="D45" t="s">
        <v>35</v>
      </c>
      <c r="E45" t="s">
        <v>18</v>
      </c>
      <c r="F45" t="s">
        <v>28</v>
      </c>
      <c r="G45" t="s">
        <v>27</v>
      </c>
      <c r="H45" t="s">
        <v>21</v>
      </c>
      <c r="I45" t="s">
        <v>24</v>
      </c>
      <c r="J45" t="s">
        <v>23</v>
      </c>
      <c r="K45">
        <v>1118</v>
      </c>
      <c r="L45">
        <v>12.0065288</v>
      </c>
      <c r="M45">
        <v>74.204148282721633</v>
      </c>
      <c r="N45">
        <v>-0.33596843758089745</v>
      </c>
      <c r="O45" s="1" t="str">
        <f>HYPERLINK(".\sm_car_210927_2323\sm_car_210927_2323_044_Ca119TrN_MaLSS_ode23t.png","figure")</f>
        <v>figure</v>
      </c>
      <c r="P45" t="s">
        <v>15</v>
      </c>
    </row>
    <row r="46" spans="1:16" x14ac:dyDescent="0.25">
      <c r="A46">
        <v>45</v>
      </c>
      <c r="B46">
        <v>128</v>
      </c>
      <c r="C46" t="s">
        <v>16</v>
      </c>
      <c r="D46" t="s">
        <v>17</v>
      </c>
      <c r="E46" t="s">
        <v>18</v>
      </c>
      <c r="F46" t="s">
        <v>19</v>
      </c>
      <c r="G46" t="s">
        <v>36</v>
      </c>
      <c r="H46" t="s">
        <v>21</v>
      </c>
      <c r="I46" t="s">
        <v>22</v>
      </c>
      <c r="J46" t="s">
        <v>23</v>
      </c>
      <c r="K46">
        <v>452</v>
      </c>
      <c r="L46">
        <v>23.991660599999999</v>
      </c>
      <c r="M46">
        <v>100.48844162903934</v>
      </c>
      <c r="N46">
        <v>1.5372403348482696E-2</v>
      </c>
      <c r="O46" s="1" t="str">
        <f>HYPERLINK(".\sm_car_210927_2323\sm_car_210927_2323_045_Ca128TrN_MaWOT_ode23t.png","figure")</f>
        <v>figure</v>
      </c>
      <c r="P46" t="s">
        <v>15</v>
      </c>
    </row>
    <row r="47" spans="1:16" x14ac:dyDescent="0.25">
      <c r="A47">
        <v>46</v>
      </c>
      <c r="B47">
        <v>128</v>
      </c>
      <c r="C47" t="s">
        <v>16</v>
      </c>
      <c r="D47" t="s">
        <v>17</v>
      </c>
      <c r="E47" t="s">
        <v>18</v>
      </c>
      <c r="F47" t="s">
        <v>19</v>
      </c>
      <c r="G47" t="s">
        <v>36</v>
      </c>
      <c r="H47" t="s">
        <v>21</v>
      </c>
      <c r="I47" t="s">
        <v>24</v>
      </c>
      <c r="J47" t="s">
        <v>23</v>
      </c>
      <c r="K47">
        <v>542</v>
      </c>
      <c r="L47">
        <v>22.844617100000001</v>
      </c>
      <c r="M47">
        <v>37.149352703391422</v>
      </c>
      <c r="N47">
        <v>-0.10226422228990319</v>
      </c>
      <c r="O47" s="1" t="str">
        <f>HYPERLINK(".\sm_car_210927_2323\sm_car_210927_2323_046_Ca128TrN_MaLSS_ode23t.png","figure")</f>
        <v>figure</v>
      </c>
      <c r="P47" t="s">
        <v>15</v>
      </c>
    </row>
    <row r="48" spans="1:16" x14ac:dyDescent="0.25">
      <c r="A48">
        <v>47</v>
      </c>
      <c r="B48">
        <v>129</v>
      </c>
      <c r="C48" t="s">
        <v>16</v>
      </c>
      <c r="D48" t="s">
        <v>17</v>
      </c>
      <c r="E48" t="s">
        <v>18</v>
      </c>
      <c r="F48" t="s">
        <v>19</v>
      </c>
      <c r="G48" t="s">
        <v>37</v>
      </c>
      <c r="H48" t="s">
        <v>21</v>
      </c>
      <c r="I48" t="s">
        <v>22</v>
      </c>
      <c r="J48" t="s">
        <v>23</v>
      </c>
      <c r="K48">
        <v>379</v>
      </c>
      <c r="L48">
        <v>22.542371899999999</v>
      </c>
      <c r="M48">
        <v>232.39008611327969</v>
      </c>
      <c r="N48">
        <v>0.13831350919799057</v>
      </c>
      <c r="O48" s="1" t="str">
        <f>HYPERLINK(".\sm_car_210927_2323\sm_car_210927_2323_047_Ca129TrN_MaWOT_ode23t.png","figure")</f>
        <v>figure</v>
      </c>
      <c r="P48" t="s">
        <v>15</v>
      </c>
    </row>
    <row r="49" spans="1:16" x14ac:dyDescent="0.25">
      <c r="A49">
        <v>48</v>
      </c>
      <c r="B49">
        <v>129</v>
      </c>
      <c r="C49" t="s">
        <v>16</v>
      </c>
      <c r="D49" t="s">
        <v>17</v>
      </c>
      <c r="E49" t="s">
        <v>18</v>
      </c>
      <c r="F49" t="s">
        <v>19</v>
      </c>
      <c r="G49" t="s">
        <v>37</v>
      </c>
      <c r="H49" t="s">
        <v>21</v>
      </c>
      <c r="I49" t="s">
        <v>24</v>
      </c>
      <c r="J49" t="s">
        <v>23</v>
      </c>
      <c r="K49">
        <v>480</v>
      </c>
      <c r="L49">
        <v>25.085085200000002</v>
      </c>
      <c r="M49">
        <v>71.572466936566542</v>
      </c>
      <c r="N49">
        <v>-0.39427632342524832</v>
      </c>
      <c r="O49" s="1" t="str">
        <f>HYPERLINK(".\sm_car_210927_2323\sm_car_210927_2323_048_Ca129TrN_MaLSS_ode23t.png","figure")</f>
        <v>figure</v>
      </c>
      <c r="P49" t="s">
        <v>15</v>
      </c>
    </row>
    <row r="50" spans="1:16" x14ac:dyDescent="0.25">
      <c r="A50">
        <v>49</v>
      </c>
      <c r="B50">
        <v>130</v>
      </c>
      <c r="C50" t="s">
        <v>16</v>
      </c>
      <c r="D50" t="s">
        <v>17</v>
      </c>
      <c r="E50" t="s">
        <v>18</v>
      </c>
      <c r="F50" t="s">
        <v>19</v>
      </c>
      <c r="G50" t="s">
        <v>38</v>
      </c>
      <c r="H50" t="s">
        <v>21</v>
      </c>
      <c r="I50" t="s">
        <v>22</v>
      </c>
      <c r="J50" t="s">
        <v>23</v>
      </c>
      <c r="K50">
        <v>783</v>
      </c>
      <c r="L50">
        <v>34.838636399999999</v>
      </c>
      <c r="M50">
        <v>219.12543434719535</v>
      </c>
      <c r="N50">
        <v>-1.5559691800613791</v>
      </c>
      <c r="O50" s="1" t="str">
        <f>HYPERLINK(".\sm_car_210927_2323\sm_car_210927_2323_049_Ca130TrN_MaWOT_ode23t.png","figure")</f>
        <v>figure</v>
      </c>
      <c r="P50" t="s">
        <v>15</v>
      </c>
    </row>
    <row r="51" spans="1:16" x14ac:dyDescent="0.25">
      <c r="A51">
        <v>50</v>
      </c>
      <c r="B51">
        <v>130</v>
      </c>
      <c r="C51" t="s">
        <v>16</v>
      </c>
      <c r="D51" t="s">
        <v>17</v>
      </c>
      <c r="E51" t="s">
        <v>18</v>
      </c>
      <c r="F51" t="s">
        <v>19</v>
      </c>
      <c r="G51" t="s">
        <v>38</v>
      </c>
      <c r="H51" t="s">
        <v>21</v>
      </c>
      <c r="I51" t="s">
        <v>24</v>
      </c>
      <c r="J51" t="s">
        <v>23</v>
      </c>
      <c r="K51">
        <v>783</v>
      </c>
      <c r="L51">
        <v>32.795831800000002</v>
      </c>
      <c r="M51">
        <v>69.523798515056853</v>
      </c>
      <c r="N51">
        <v>-0.39687892017109117</v>
      </c>
      <c r="O51" s="1" t="str">
        <f>HYPERLINK(".\sm_car_210927_2323\sm_car_210927_2323_050_Ca130TrN_MaLSS_ode23t.png","figure")</f>
        <v>figure</v>
      </c>
      <c r="P51" t="s">
        <v>15</v>
      </c>
    </row>
    <row r="52" spans="1:16" x14ac:dyDescent="0.25">
      <c r="A52">
        <v>51</v>
      </c>
      <c r="B52">
        <v>131</v>
      </c>
      <c r="C52" t="s">
        <v>16</v>
      </c>
      <c r="D52" t="s">
        <v>17</v>
      </c>
      <c r="E52" t="s">
        <v>18</v>
      </c>
      <c r="F52" t="s">
        <v>19</v>
      </c>
      <c r="G52" t="s">
        <v>39</v>
      </c>
      <c r="H52" t="s">
        <v>21</v>
      </c>
      <c r="I52" t="s">
        <v>22</v>
      </c>
      <c r="J52" t="s">
        <v>23</v>
      </c>
      <c r="K52">
        <v>352</v>
      </c>
      <c r="L52">
        <v>13.3233123</v>
      </c>
      <c r="M52">
        <v>231.5286263804434</v>
      </c>
      <c r="N52">
        <v>0.26226485268818789</v>
      </c>
      <c r="O52" s="1" t="str">
        <f>HYPERLINK(".\sm_car_210927_2323\sm_car_210927_2323_051_Ca131TrN_MaWOT_ode23t.png","figure")</f>
        <v>figure</v>
      </c>
      <c r="P52" t="s">
        <v>15</v>
      </c>
    </row>
    <row r="53" spans="1:16" x14ac:dyDescent="0.25">
      <c r="A53">
        <v>52</v>
      </c>
      <c r="B53">
        <v>131</v>
      </c>
      <c r="C53" t="s">
        <v>16</v>
      </c>
      <c r="D53" t="s">
        <v>17</v>
      </c>
      <c r="E53" t="s">
        <v>18</v>
      </c>
      <c r="F53" t="s">
        <v>19</v>
      </c>
      <c r="G53" t="s">
        <v>39</v>
      </c>
      <c r="H53" t="s">
        <v>21</v>
      </c>
      <c r="I53" t="s">
        <v>24</v>
      </c>
      <c r="J53" t="s">
        <v>23</v>
      </c>
      <c r="K53">
        <v>491</v>
      </c>
      <c r="L53">
        <v>14.178978600000001</v>
      </c>
      <c r="M53">
        <v>70.939611334584924</v>
      </c>
      <c r="N53">
        <v>-0.37663547199499026</v>
      </c>
      <c r="O53" s="1" t="str">
        <f>HYPERLINK(".\sm_car_210927_2323\sm_car_210927_2323_052_Ca131TrN_MaLSS_ode23t.png","figure")</f>
        <v>figure</v>
      </c>
      <c r="P53" t="s">
        <v>15</v>
      </c>
    </row>
    <row r="54" spans="1:16" x14ac:dyDescent="0.25">
      <c r="A54">
        <v>53</v>
      </c>
      <c r="B54">
        <v>132</v>
      </c>
      <c r="C54" t="s">
        <v>16</v>
      </c>
      <c r="D54" t="s">
        <v>17</v>
      </c>
      <c r="E54" t="s">
        <v>18</v>
      </c>
      <c r="F54" t="s">
        <v>19</v>
      </c>
      <c r="G54" t="s">
        <v>40</v>
      </c>
      <c r="H54" t="s">
        <v>21</v>
      </c>
      <c r="I54" t="s">
        <v>22</v>
      </c>
      <c r="J54" t="s">
        <v>23</v>
      </c>
      <c r="K54">
        <v>372</v>
      </c>
      <c r="L54">
        <v>13.2740498</v>
      </c>
      <c r="M54">
        <v>232.98937187219119</v>
      </c>
      <c r="N54">
        <v>0.11428979727847209</v>
      </c>
      <c r="O54" s="1" t="str">
        <f>HYPERLINK(".\sm_car_210927_2323\sm_car_210927_2323_053_Ca132TrN_MaWOT_ode23t.png","figure")</f>
        <v>figure</v>
      </c>
      <c r="P54" t="s">
        <v>15</v>
      </c>
    </row>
    <row r="55" spans="1:16" x14ac:dyDescent="0.25">
      <c r="A55">
        <v>54</v>
      </c>
      <c r="B55">
        <v>132</v>
      </c>
      <c r="C55" t="s">
        <v>16</v>
      </c>
      <c r="D55" t="s">
        <v>17</v>
      </c>
      <c r="E55" t="s">
        <v>18</v>
      </c>
      <c r="F55" t="s">
        <v>19</v>
      </c>
      <c r="G55" t="s">
        <v>40</v>
      </c>
      <c r="H55" t="s">
        <v>21</v>
      </c>
      <c r="I55" t="s">
        <v>24</v>
      </c>
      <c r="J55" t="s">
        <v>23</v>
      </c>
      <c r="K55">
        <v>494</v>
      </c>
      <c r="L55">
        <v>14.230009000000001</v>
      </c>
      <c r="M55">
        <v>71.69007036858082</v>
      </c>
      <c r="N55">
        <v>-0.39407459360753644</v>
      </c>
      <c r="O55" s="1" t="str">
        <f>HYPERLINK(".\sm_car_210927_2323\sm_car_210927_2323_054_Ca132TrN_MaLSS_ode23t.png","figure")</f>
        <v>figure</v>
      </c>
      <c r="P55" t="s">
        <v>15</v>
      </c>
    </row>
    <row r="56" spans="1:16" x14ac:dyDescent="0.25">
      <c r="A56">
        <v>55</v>
      </c>
      <c r="B56">
        <v>133</v>
      </c>
      <c r="C56" t="s">
        <v>16</v>
      </c>
      <c r="D56" t="s">
        <v>17</v>
      </c>
      <c r="E56" t="s">
        <v>18</v>
      </c>
      <c r="F56" t="s">
        <v>19</v>
      </c>
      <c r="G56" t="s">
        <v>41</v>
      </c>
      <c r="H56" t="s">
        <v>21</v>
      </c>
      <c r="I56" t="s">
        <v>22</v>
      </c>
      <c r="J56" t="s">
        <v>23</v>
      </c>
      <c r="K56">
        <v>364</v>
      </c>
      <c r="L56">
        <v>13.0928738</v>
      </c>
      <c r="M56">
        <v>231.57804461020413</v>
      </c>
      <c r="N56">
        <v>0.26299346799888668</v>
      </c>
      <c r="O56" s="1" t="str">
        <f>HYPERLINK(".\sm_car_210927_2323\sm_car_210927_2323_055_Ca133TrN_MaWOT_ode23t.png","figure")</f>
        <v>figure</v>
      </c>
      <c r="P56" t="s">
        <v>15</v>
      </c>
    </row>
    <row r="57" spans="1:16" x14ac:dyDescent="0.25">
      <c r="A57">
        <v>56</v>
      </c>
      <c r="B57">
        <v>133</v>
      </c>
      <c r="C57" t="s">
        <v>16</v>
      </c>
      <c r="D57" t="s">
        <v>17</v>
      </c>
      <c r="E57" t="s">
        <v>18</v>
      </c>
      <c r="F57" t="s">
        <v>19</v>
      </c>
      <c r="G57" t="s">
        <v>41</v>
      </c>
      <c r="H57" t="s">
        <v>21</v>
      </c>
      <c r="I57" t="s">
        <v>24</v>
      </c>
      <c r="J57" t="s">
        <v>23</v>
      </c>
      <c r="K57">
        <v>488</v>
      </c>
      <c r="L57">
        <v>13.814275200000001</v>
      </c>
      <c r="M57">
        <v>70.940248350251707</v>
      </c>
      <c r="N57">
        <v>-0.37468552645254638</v>
      </c>
      <c r="O57" s="1" t="str">
        <f>HYPERLINK(".\sm_car_210927_2323\sm_car_210927_2323_056_Ca133TrN_MaLSS_ode23t.png","figure")</f>
        <v>figure</v>
      </c>
      <c r="P57" t="s">
        <v>15</v>
      </c>
    </row>
    <row r="58" spans="1:16" x14ac:dyDescent="0.25">
      <c r="A58">
        <v>57</v>
      </c>
      <c r="B58">
        <v>134</v>
      </c>
      <c r="C58" t="s">
        <v>16</v>
      </c>
      <c r="D58" t="s">
        <v>17</v>
      </c>
      <c r="E58" t="s">
        <v>18</v>
      </c>
      <c r="F58" t="s">
        <v>19</v>
      </c>
      <c r="G58" t="s">
        <v>42</v>
      </c>
      <c r="H58" t="s">
        <v>21</v>
      </c>
      <c r="I58" t="s">
        <v>22</v>
      </c>
      <c r="J58" t="s">
        <v>23</v>
      </c>
      <c r="K58">
        <v>363</v>
      </c>
      <c r="L58">
        <v>12.067679099999999</v>
      </c>
      <c r="M58">
        <v>232.82454016504812</v>
      </c>
      <c r="N58">
        <v>0.11541828992512752</v>
      </c>
      <c r="O58" s="1" t="str">
        <f>HYPERLINK(".\sm_car_210927_2323\sm_car_210927_2323_057_Ca134TrN_MaWOT_ode23t.png","figure")</f>
        <v>figure</v>
      </c>
      <c r="P58" t="s">
        <v>15</v>
      </c>
    </row>
    <row r="59" spans="1:16" x14ac:dyDescent="0.25">
      <c r="A59">
        <v>58</v>
      </c>
      <c r="B59">
        <v>134</v>
      </c>
      <c r="C59" t="s">
        <v>16</v>
      </c>
      <c r="D59" t="s">
        <v>17</v>
      </c>
      <c r="E59" t="s">
        <v>18</v>
      </c>
      <c r="F59" t="s">
        <v>19</v>
      </c>
      <c r="G59" t="s">
        <v>42</v>
      </c>
      <c r="H59" t="s">
        <v>21</v>
      </c>
      <c r="I59" t="s">
        <v>24</v>
      </c>
      <c r="J59" t="s">
        <v>23</v>
      </c>
      <c r="K59">
        <v>492</v>
      </c>
      <c r="L59">
        <v>13.3977498</v>
      </c>
      <c r="M59">
        <v>71.665661284589063</v>
      </c>
      <c r="N59">
        <v>-0.39388049550427273</v>
      </c>
      <c r="O59" s="1" t="str">
        <f>HYPERLINK(".\sm_car_210927_2323\sm_car_210927_2323_058_Ca134TrN_MaLSS_ode23t.png","figure")</f>
        <v>figure</v>
      </c>
      <c r="P59" t="s">
        <v>15</v>
      </c>
    </row>
    <row r="60" spans="1:16" x14ac:dyDescent="0.25">
      <c r="A60">
        <v>59</v>
      </c>
      <c r="B60">
        <v>135</v>
      </c>
      <c r="C60" t="s">
        <v>16</v>
      </c>
      <c r="D60" t="s">
        <v>17</v>
      </c>
      <c r="E60" t="s">
        <v>18</v>
      </c>
      <c r="F60" t="s">
        <v>19</v>
      </c>
      <c r="G60" t="s">
        <v>43</v>
      </c>
      <c r="H60" t="s">
        <v>21</v>
      </c>
      <c r="I60" t="s">
        <v>22</v>
      </c>
      <c r="J60" t="s">
        <v>23</v>
      </c>
      <c r="K60">
        <v>338</v>
      </c>
      <c r="L60">
        <v>13.4063827</v>
      </c>
      <c r="M60">
        <v>232.81543301716383</v>
      </c>
      <c r="N60">
        <v>0.11476158725724364</v>
      </c>
      <c r="O60" s="1" t="str">
        <f>HYPERLINK(".\sm_car_210927_2323\sm_car_210927_2323_059_Ca135TrN_MaWOT_ode23t.png","figure")</f>
        <v>figure</v>
      </c>
      <c r="P60" t="s">
        <v>15</v>
      </c>
    </row>
    <row r="61" spans="1:16" x14ac:dyDescent="0.25">
      <c r="A61">
        <v>60</v>
      </c>
      <c r="B61">
        <v>135</v>
      </c>
      <c r="C61" t="s">
        <v>16</v>
      </c>
      <c r="D61" t="s">
        <v>17</v>
      </c>
      <c r="E61" t="s">
        <v>18</v>
      </c>
      <c r="F61" t="s">
        <v>19</v>
      </c>
      <c r="G61" t="s">
        <v>43</v>
      </c>
      <c r="H61" t="s">
        <v>21</v>
      </c>
      <c r="I61" t="s">
        <v>24</v>
      </c>
      <c r="J61" t="s">
        <v>23</v>
      </c>
      <c r="K61">
        <v>462</v>
      </c>
      <c r="L61">
        <v>13.2897207</v>
      </c>
      <c r="M61">
        <v>71.682042861901081</v>
      </c>
      <c r="N61">
        <v>-0.38775803672996201</v>
      </c>
      <c r="O61" s="1" t="str">
        <f>HYPERLINK(".\sm_car_210927_2323\sm_car_210927_2323_060_Ca135TrN_MaLSS_ode23t.png","figure")</f>
        <v>figure</v>
      </c>
      <c r="P61" t="s">
        <v>15</v>
      </c>
    </row>
    <row r="62" spans="1:16" x14ac:dyDescent="0.25">
      <c r="A62">
        <v>61</v>
      </c>
      <c r="B62">
        <v>136</v>
      </c>
      <c r="C62" t="s">
        <v>16</v>
      </c>
      <c r="D62" t="s">
        <v>17</v>
      </c>
      <c r="E62" t="s">
        <v>18</v>
      </c>
      <c r="F62" t="s">
        <v>19</v>
      </c>
      <c r="G62" t="s">
        <v>44</v>
      </c>
      <c r="H62" t="s">
        <v>21</v>
      </c>
      <c r="I62" t="s">
        <v>22</v>
      </c>
      <c r="J62" t="s">
        <v>23</v>
      </c>
      <c r="K62">
        <v>388</v>
      </c>
      <c r="L62">
        <v>16.362262099999999</v>
      </c>
      <c r="M62">
        <v>232.62075420151089</v>
      </c>
      <c r="N62">
        <v>0.13618824583339839</v>
      </c>
      <c r="O62" s="1" t="str">
        <f>HYPERLINK(".\sm_car_210927_2323\sm_car_210927_2323_061_Ca136TrN_MaWOT_ode23t.png","figure")</f>
        <v>figure</v>
      </c>
      <c r="P62" t="s">
        <v>15</v>
      </c>
    </row>
    <row r="63" spans="1:16" x14ac:dyDescent="0.25">
      <c r="A63">
        <v>62</v>
      </c>
      <c r="B63">
        <v>136</v>
      </c>
      <c r="C63" t="s">
        <v>16</v>
      </c>
      <c r="D63" t="s">
        <v>17</v>
      </c>
      <c r="E63" t="s">
        <v>18</v>
      </c>
      <c r="F63" t="s">
        <v>19</v>
      </c>
      <c r="G63" t="s">
        <v>44</v>
      </c>
      <c r="H63" t="s">
        <v>21</v>
      </c>
      <c r="I63" t="s">
        <v>24</v>
      </c>
      <c r="J63" t="s">
        <v>23</v>
      </c>
      <c r="K63">
        <v>490</v>
      </c>
      <c r="L63">
        <v>19.055976300000001</v>
      </c>
      <c r="M63">
        <v>71.677910464132324</v>
      </c>
      <c r="N63">
        <v>-0.39400811728176266</v>
      </c>
      <c r="O63" s="1" t="str">
        <f>HYPERLINK(".\sm_car_210927_2323\sm_car_210927_2323_062_Ca136TrN_MaLSS_ode23t.png","figure")</f>
        <v>figure</v>
      </c>
      <c r="P63" t="s">
        <v>15</v>
      </c>
    </row>
    <row r="64" spans="1:16" x14ac:dyDescent="0.25">
      <c r="A64">
        <v>63</v>
      </c>
      <c r="B64">
        <v>137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I64" t="s">
        <v>22</v>
      </c>
      <c r="J64" t="s">
        <v>23</v>
      </c>
      <c r="K64">
        <v>371</v>
      </c>
      <c r="L64">
        <v>10.551244199999999</v>
      </c>
      <c r="M64">
        <v>231.93639434699608</v>
      </c>
      <c r="N64">
        <v>0.18149947397434207</v>
      </c>
      <c r="O64" s="1" t="str">
        <f>HYPERLINK(".\sm_car_210927_2323\sm_car_210927_2323_063_Ca137TrN_MaWOT_ode23t.png","figure")</f>
        <v>figure</v>
      </c>
      <c r="P64" t="s">
        <v>15</v>
      </c>
    </row>
    <row r="65" spans="1:16" x14ac:dyDescent="0.25">
      <c r="A65">
        <v>64</v>
      </c>
      <c r="B65">
        <v>137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21</v>
      </c>
      <c r="I65" t="s">
        <v>24</v>
      </c>
      <c r="J65" t="s">
        <v>23</v>
      </c>
      <c r="K65">
        <v>484</v>
      </c>
      <c r="L65">
        <v>12.4150239</v>
      </c>
      <c r="M65">
        <v>70.655279117013819</v>
      </c>
      <c r="N65">
        <v>-0.42328393499508027</v>
      </c>
      <c r="O65" s="1" t="str">
        <f>HYPERLINK(".\sm_car_210927_2323\sm_car_210927_2323_064_Ca137TrN_MaLSS_ode23t.png","figure")</f>
        <v>figure</v>
      </c>
      <c r="P65" t="s">
        <v>15</v>
      </c>
    </row>
    <row r="66" spans="1:16" x14ac:dyDescent="0.25">
      <c r="A66">
        <v>65</v>
      </c>
      <c r="B66">
        <v>138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21</v>
      </c>
      <c r="I66" t="s">
        <v>22</v>
      </c>
      <c r="J66" t="s">
        <v>23</v>
      </c>
      <c r="K66">
        <v>373</v>
      </c>
      <c r="L66">
        <v>16.003000799999999</v>
      </c>
      <c r="M66">
        <v>231.85256509423064</v>
      </c>
      <c r="N66">
        <v>0.19339020286510125</v>
      </c>
      <c r="O66" s="1" t="str">
        <f>HYPERLINK(".\sm_car_210927_2323\sm_car_210927_2323_065_Ca138TrN_MaWOT_ode23t.png","figure")</f>
        <v>figure</v>
      </c>
      <c r="P66" t="s">
        <v>15</v>
      </c>
    </row>
    <row r="67" spans="1:16" x14ac:dyDescent="0.25">
      <c r="A67">
        <v>66</v>
      </c>
      <c r="B67">
        <v>138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21</v>
      </c>
      <c r="I67" t="s">
        <v>24</v>
      </c>
      <c r="J67" t="s">
        <v>23</v>
      </c>
      <c r="K67">
        <v>515</v>
      </c>
      <c r="L67">
        <v>17.016442399999999</v>
      </c>
      <c r="M67">
        <v>70.548130031216175</v>
      </c>
      <c r="N67">
        <v>-0.70759801738423567</v>
      </c>
      <c r="O67" s="1" t="str">
        <f>HYPERLINK(".\sm_car_210927_2323\sm_car_210927_2323_066_Ca138TrN_MaLSS_ode23t.png","figure")</f>
        <v>figure</v>
      </c>
      <c r="P67" t="s">
        <v>15</v>
      </c>
    </row>
    <row r="68" spans="1:16" x14ac:dyDescent="0.25">
      <c r="A68">
        <v>67</v>
      </c>
      <c r="B68">
        <v>139</v>
      </c>
      <c r="C68" t="s">
        <v>45</v>
      </c>
      <c r="D68" t="s">
        <v>17</v>
      </c>
      <c r="E68" t="s">
        <v>18</v>
      </c>
      <c r="F68" t="s">
        <v>19</v>
      </c>
      <c r="G68" t="s">
        <v>26</v>
      </c>
      <c r="H68" t="s">
        <v>21</v>
      </c>
      <c r="I68" t="s">
        <v>22</v>
      </c>
      <c r="J68" t="s">
        <v>23</v>
      </c>
      <c r="K68">
        <v>490</v>
      </c>
      <c r="L68">
        <v>18.763882599999999</v>
      </c>
      <c r="M68">
        <v>411.83536352977205</v>
      </c>
      <c r="N68">
        <v>0.37652363288145108</v>
      </c>
      <c r="O68" s="1" t="str">
        <f>HYPERLINK(".\sm_car_210927_2323\sm_car_210927_2323_067_Ca139TrN_MaWOT_ode23t.png","figure")</f>
        <v>figure</v>
      </c>
      <c r="P68" t="s">
        <v>15</v>
      </c>
    </row>
    <row r="69" spans="1:16" x14ac:dyDescent="0.25">
      <c r="A69">
        <v>68</v>
      </c>
      <c r="B69">
        <v>139</v>
      </c>
      <c r="C69" t="s">
        <v>45</v>
      </c>
      <c r="D69" t="s">
        <v>17</v>
      </c>
      <c r="E69" t="s">
        <v>18</v>
      </c>
      <c r="F69" t="s">
        <v>19</v>
      </c>
      <c r="G69" t="s">
        <v>26</v>
      </c>
      <c r="H69" t="s">
        <v>21</v>
      </c>
      <c r="I69" t="s">
        <v>24</v>
      </c>
      <c r="J69" t="s">
        <v>23</v>
      </c>
      <c r="K69">
        <v>607</v>
      </c>
      <c r="L69">
        <v>16.969414499999999</v>
      </c>
      <c r="M69">
        <v>156.87214114564637</v>
      </c>
      <c r="N69">
        <v>-1.0927828514892051</v>
      </c>
      <c r="O69" s="1" t="str">
        <f>HYPERLINK(".\sm_car_210927_2323\sm_car_210927_2323_068_Ca139TrN_MaLSS_ode23t.png","figure")</f>
        <v>figure</v>
      </c>
      <c r="P69" t="s">
        <v>15</v>
      </c>
    </row>
    <row r="70" spans="1:16" x14ac:dyDescent="0.25">
      <c r="A70">
        <v>69</v>
      </c>
      <c r="B70">
        <v>141</v>
      </c>
      <c r="C70" t="s">
        <v>45</v>
      </c>
      <c r="D70" t="s">
        <v>17</v>
      </c>
      <c r="E70" t="s">
        <v>18</v>
      </c>
      <c r="F70" t="s">
        <v>28</v>
      </c>
      <c r="G70" t="s">
        <v>26</v>
      </c>
      <c r="H70" t="s">
        <v>21</v>
      </c>
      <c r="I70" t="s">
        <v>22</v>
      </c>
      <c r="J70" t="s">
        <v>23</v>
      </c>
      <c r="K70">
        <v>1112</v>
      </c>
      <c r="L70">
        <v>27.329359</v>
      </c>
      <c r="M70">
        <v>411.91996501674464</v>
      </c>
      <c r="N70">
        <v>0.39231443626910811</v>
      </c>
      <c r="O70" s="1" t="str">
        <f>HYPERLINK(".\sm_car_210927_2323\sm_car_210927_2323_069_Ca141TrN_MaWOT_ode23t.png","figure")</f>
        <v>figure</v>
      </c>
      <c r="P70" t="s">
        <v>15</v>
      </c>
    </row>
    <row r="71" spans="1:16" x14ac:dyDescent="0.25">
      <c r="A71">
        <v>70</v>
      </c>
      <c r="B71">
        <v>141</v>
      </c>
      <c r="C71" t="s">
        <v>45</v>
      </c>
      <c r="D71" t="s">
        <v>17</v>
      </c>
      <c r="E71" t="s">
        <v>18</v>
      </c>
      <c r="F71" t="s">
        <v>28</v>
      </c>
      <c r="G71" t="s">
        <v>26</v>
      </c>
      <c r="H71" t="s">
        <v>21</v>
      </c>
      <c r="I71" t="s">
        <v>24</v>
      </c>
      <c r="J71" t="s">
        <v>23</v>
      </c>
      <c r="K71">
        <v>1230</v>
      </c>
      <c r="L71">
        <v>25.646940699999998</v>
      </c>
      <c r="M71">
        <v>156.93611748181118</v>
      </c>
      <c r="N71">
        <v>-1.0763735035297126</v>
      </c>
      <c r="O71" s="1" t="str">
        <f>HYPERLINK(".\sm_car_210927_2323\sm_car_210927_2323_070_Ca141TrN_MaLSS_ode23t.png","figure")</f>
        <v>figure</v>
      </c>
      <c r="P71" t="s">
        <v>15</v>
      </c>
    </row>
    <row r="72" spans="1:16" x14ac:dyDescent="0.25">
      <c r="A72">
        <v>71</v>
      </c>
      <c r="B72">
        <v>143</v>
      </c>
      <c r="C72" t="s">
        <v>46</v>
      </c>
      <c r="D72" t="s">
        <v>17</v>
      </c>
      <c r="E72" t="s">
        <v>47</v>
      </c>
      <c r="F72" t="s">
        <v>19</v>
      </c>
      <c r="G72" t="s">
        <v>26</v>
      </c>
      <c r="H72" t="s">
        <v>21</v>
      </c>
      <c r="I72" t="s">
        <v>22</v>
      </c>
      <c r="J72" t="s">
        <v>23</v>
      </c>
      <c r="K72">
        <v>547</v>
      </c>
      <c r="L72">
        <v>28.070205000000001</v>
      </c>
      <c r="M72">
        <v>88.702082894372509</v>
      </c>
      <c r="N72">
        <v>-1.6187324368840936</v>
      </c>
      <c r="O72" s="1" t="str">
        <f>HYPERLINK(".\sm_car_210927_2323\sm_car_210927_2323_071_Ca143TrN_MaWOT_ode23t.png","figure")</f>
        <v>figure</v>
      </c>
      <c r="P72" t="s">
        <v>15</v>
      </c>
    </row>
    <row r="73" spans="1:16" x14ac:dyDescent="0.25">
      <c r="A73">
        <v>72</v>
      </c>
      <c r="B73">
        <v>143</v>
      </c>
      <c r="C73" t="s">
        <v>46</v>
      </c>
      <c r="D73" t="s">
        <v>17</v>
      </c>
      <c r="E73" t="s">
        <v>47</v>
      </c>
      <c r="F73" t="s">
        <v>19</v>
      </c>
      <c r="G73" t="s">
        <v>26</v>
      </c>
      <c r="H73" t="s">
        <v>21</v>
      </c>
      <c r="I73" t="s">
        <v>24</v>
      </c>
      <c r="J73" t="s">
        <v>23</v>
      </c>
      <c r="K73">
        <v>608</v>
      </c>
      <c r="L73">
        <v>27.958433800000002</v>
      </c>
      <c r="M73">
        <v>19.738363925044208</v>
      </c>
      <c r="N73">
        <v>-0.13873320569500266</v>
      </c>
      <c r="O73" s="1" t="str">
        <f>HYPERLINK(".\sm_car_210927_2323\sm_car_210927_2323_072_Ca143TrN_MaLSS_ode23t.png","figure")</f>
        <v>figure</v>
      </c>
      <c r="P73" t="s">
        <v>15</v>
      </c>
    </row>
    <row r="74" spans="1:16" x14ac:dyDescent="0.25">
      <c r="A74">
        <v>73</v>
      </c>
      <c r="B74">
        <v>144</v>
      </c>
      <c r="C74" t="s">
        <v>46</v>
      </c>
      <c r="D74" t="s">
        <v>17</v>
      </c>
      <c r="E74" t="s">
        <v>18</v>
      </c>
      <c r="F74" t="s">
        <v>19</v>
      </c>
      <c r="G74" t="s">
        <v>26</v>
      </c>
      <c r="H74" t="s">
        <v>21</v>
      </c>
      <c r="I74" t="s">
        <v>22</v>
      </c>
      <c r="J74" t="s">
        <v>23</v>
      </c>
      <c r="K74">
        <v>493</v>
      </c>
      <c r="L74">
        <v>19.1301001</v>
      </c>
      <c r="M74">
        <v>104.1561077911782</v>
      </c>
      <c r="N74">
        <v>-2.2566378690052251</v>
      </c>
      <c r="O74" s="1" t="str">
        <f>HYPERLINK(".\sm_car_210927_2323\sm_car_210927_2323_073_Ca144TrN_MaWOT_ode23t.png","figure")</f>
        <v>figure</v>
      </c>
      <c r="P74" t="s">
        <v>15</v>
      </c>
    </row>
    <row r="75" spans="1:16" x14ac:dyDescent="0.25">
      <c r="A75">
        <v>74</v>
      </c>
      <c r="B75">
        <v>144</v>
      </c>
      <c r="C75" t="s">
        <v>46</v>
      </c>
      <c r="D75" t="s">
        <v>17</v>
      </c>
      <c r="E75" t="s">
        <v>18</v>
      </c>
      <c r="F75" t="s">
        <v>19</v>
      </c>
      <c r="G75" t="s">
        <v>26</v>
      </c>
      <c r="H75" t="s">
        <v>21</v>
      </c>
      <c r="I75" t="s">
        <v>24</v>
      </c>
      <c r="J75" t="s">
        <v>23</v>
      </c>
      <c r="K75">
        <v>580</v>
      </c>
      <c r="L75">
        <v>18.730500500000002</v>
      </c>
      <c r="M75">
        <v>28.722352427540258</v>
      </c>
      <c r="N75">
        <v>-0.2998952767897074</v>
      </c>
      <c r="O75" s="1" t="str">
        <f>HYPERLINK(".\sm_car_210927_2323\sm_car_210927_2323_074_Ca144TrN_MaLSS_ode23t.png","figure")</f>
        <v>figure</v>
      </c>
      <c r="P75" t="s">
        <v>15</v>
      </c>
    </row>
    <row r="76" spans="1:16" x14ac:dyDescent="0.25">
      <c r="A76">
        <v>75</v>
      </c>
      <c r="B76">
        <v>147</v>
      </c>
      <c r="C76" t="s">
        <v>45</v>
      </c>
      <c r="D76" t="s">
        <v>17</v>
      </c>
      <c r="E76" t="s">
        <v>48</v>
      </c>
      <c r="F76" t="s">
        <v>19</v>
      </c>
      <c r="G76" t="s">
        <v>26</v>
      </c>
      <c r="H76" t="s">
        <v>21</v>
      </c>
      <c r="I76" t="s">
        <v>22</v>
      </c>
      <c r="J76" t="s">
        <v>23</v>
      </c>
      <c r="K76">
        <v>3679</v>
      </c>
      <c r="L76">
        <v>73.970945400000005</v>
      </c>
      <c r="M76">
        <v>336.27941497819302</v>
      </c>
      <c r="N76">
        <v>-128.40970314214874</v>
      </c>
      <c r="O76" s="1" t="str">
        <f>HYPERLINK(".\sm_car_210927_2323\sm_car_210927_2323_075_Ca147TrN_MaWOT_ode23t.png","figure")</f>
        <v>figure</v>
      </c>
      <c r="P76" t="s">
        <v>15</v>
      </c>
    </row>
    <row r="77" spans="1:16" x14ac:dyDescent="0.25">
      <c r="A77">
        <v>76</v>
      </c>
      <c r="B77">
        <v>147</v>
      </c>
      <c r="C77" t="s">
        <v>45</v>
      </c>
      <c r="D77" t="s">
        <v>17</v>
      </c>
      <c r="E77" t="s">
        <v>48</v>
      </c>
      <c r="F77" t="s">
        <v>19</v>
      </c>
      <c r="G77" t="s">
        <v>26</v>
      </c>
      <c r="H77" t="s">
        <v>21</v>
      </c>
      <c r="I77" t="s">
        <v>24</v>
      </c>
      <c r="J77" t="s">
        <v>23</v>
      </c>
      <c r="K77">
        <v>1676</v>
      </c>
      <c r="L77">
        <v>41.968237199999997</v>
      </c>
      <c r="M77">
        <v>148.10341153626294</v>
      </c>
      <c r="N77">
        <v>-34.19501591043057</v>
      </c>
      <c r="O77" s="1" t="str">
        <f>HYPERLINK(".\sm_car_210927_2323\sm_car_210927_2323_076_Ca147TrN_MaLSS_ode23t.png","figure")</f>
        <v>figure</v>
      </c>
      <c r="P77" t="s">
        <v>15</v>
      </c>
    </row>
    <row r="78" spans="1:16" x14ac:dyDescent="0.25">
      <c r="A78">
        <v>77</v>
      </c>
      <c r="B78">
        <v>183</v>
      </c>
      <c r="C78" t="s">
        <v>49</v>
      </c>
      <c r="D78" t="s">
        <v>50</v>
      </c>
      <c r="E78" t="s">
        <v>18</v>
      </c>
      <c r="F78" t="s">
        <v>19</v>
      </c>
      <c r="G78" t="s">
        <v>20</v>
      </c>
      <c r="H78" t="s">
        <v>21</v>
      </c>
      <c r="I78" t="s">
        <v>22</v>
      </c>
      <c r="J78" t="s">
        <v>23</v>
      </c>
      <c r="K78">
        <v>664</v>
      </c>
      <c r="L78">
        <v>53.912923900000003</v>
      </c>
      <c r="M78">
        <v>186.62524870906967</v>
      </c>
      <c r="N78">
        <v>-1.811072766096321E-4</v>
      </c>
      <c r="O78" s="1" t="str">
        <f>HYPERLINK(".\sm_car_210927_2323\sm_car_210927_2323_077_Ca183TrN_MaWOT_ode23t.png","figure")</f>
        <v>figure</v>
      </c>
      <c r="P78" t="s">
        <v>15</v>
      </c>
    </row>
    <row r="79" spans="1:16" x14ac:dyDescent="0.25">
      <c r="A79">
        <v>78</v>
      </c>
      <c r="B79">
        <v>183</v>
      </c>
      <c r="C79" t="s">
        <v>49</v>
      </c>
      <c r="D79" t="s">
        <v>50</v>
      </c>
      <c r="E79" t="s">
        <v>18</v>
      </c>
      <c r="F79" t="s">
        <v>19</v>
      </c>
      <c r="G79" t="s">
        <v>20</v>
      </c>
      <c r="H79" t="s">
        <v>21</v>
      </c>
      <c r="I79" t="s">
        <v>24</v>
      </c>
      <c r="J79" t="s">
        <v>23</v>
      </c>
      <c r="K79">
        <v>894</v>
      </c>
      <c r="L79">
        <v>53.147975799999998</v>
      </c>
      <c r="M79">
        <v>57.549087665619943</v>
      </c>
      <c r="N79">
        <v>8.6281247853616627E-2</v>
      </c>
      <c r="O79" s="1" t="str">
        <f>HYPERLINK(".\sm_car_210927_2323\sm_car_210927_2323_078_Ca183TrN_MaLSS_ode23t.png","figure")</f>
        <v>figure</v>
      </c>
      <c r="P79" t="s">
        <v>15</v>
      </c>
    </row>
    <row r="80" spans="1:16" x14ac:dyDescent="0.25">
      <c r="A80">
        <v>79</v>
      </c>
      <c r="B80">
        <v>8</v>
      </c>
      <c r="C80" t="s">
        <v>16</v>
      </c>
      <c r="D80" t="s">
        <v>17</v>
      </c>
      <c r="E80" t="s">
        <v>51</v>
      </c>
      <c r="F80" t="s">
        <v>19</v>
      </c>
      <c r="G80" t="s">
        <v>20</v>
      </c>
      <c r="H80" t="s">
        <v>21</v>
      </c>
      <c r="I80" t="s">
        <v>22</v>
      </c>
      <c r="J80" t="s">
        <v>23</v>
      </c>
      <c r="K80">
        <v>360</v>
      </c>
      <c r="L80">
        <v>15.026942200000001</v>
      </c>
      <c r="M80">
        <v>233.7904737840615</v>
      </c>
      <c r="N80">
        <v>0.11856595944861681</v>
      </c>
      <c r="O80" s="1" t="str">
        <f>HYPERLINK(".\sm_car_210927_2323\sm_car_210927_2323_079_Ca008TrN_MaWOT_ode23t_1.png","figure")</f>
        <v>figure</v>
      </c>
      <c r="P80" t="s">
        <v>15</v>
      </c>
    </row>
    <row r="81" spans="1:16" x14ac:dyDescent="0.25">
      <c r="A81">
        <v>80</v>
      </c>
      <c r="B81">
        <v>8</v>
      </c>
      <c r="C81" t="s">
        <v>16</v>
      </c>
      <c r="D81" t="s">
        <v>17</v>
      </c>
      <c r="E81" t="s">
        <v>51</v>
      </c>
      <c r="F81" t="s">
        <v>19</v>
      </c>
      <c r="G81" t="s">
        <v>20</v>
      </c>
      <c r="H81" t="s">
        <v>21</v>
      </c>
      <c r="I81" t="s">
        <v>24</v>
      </c>
      <c r="J81" t="s">
        <v>23</v>
      </c>
      <c r="K81">
        <v>518</v>
      </c>
      <c r="L81">
        <v>18.749860699999999</v>
      </c>
      <c r="M81">
        <v>71.96561880803425</v>
      </c>
      <c r="N81">
        <v>-0.39966735870254289</v>
      </c>
      <c r="O81" s="1" t="str">
        <f>HYPERLINK(".\sm_car_210927_2323\sm_car_210927_2323_080_Ca008TrN_MaLSS_ode23t_1.png","figure")</f>
        <v>figure</v>
      </c>
      <c r="P81" t="s">
        <v>15</v>
      </c>
    </row>
    <row r="82" spans="1:16" x14ac:dyDescent="0.25">
      <c r="A82">
        <v>81</v>
      </c>
      <c r="B82">
        <v>9</v>
      </c>
      <c r="C82" t="s">
        <v>16</v>
      </c>
      <c r="D82" t="s">
        <v>17</v>
      </c>
      <c r="E82" t="s">
        <v>51</v>
      </c>
      <c r="F82" t="s">
        <v>19</v>
      </c>
      <c r="G82" t="s">
        <v>25</v>
      </c>
      <c r="H82" t="s">
        <v>21</v>
      </c>
      <c r="I82" t="s">
        <v>22</v>
      </c>
      <c r="J82" t="s">
        <v>23</v>
      </c>
      <c r="K82">
        <v>363</v>
      </c>
      <c r="L82">
        <v>17.581468399999999</v>
      </c>
      <c r="M82">
        <v>232.75744982263728</v>
      </c>
      <c r="N82">
        <v>0.11457307858269433</v>
      </c>
      <c r="O82" s="1" t="str">
        <f>HYPERLINK(".\sm_car_210927_2323\sm_car_210927_2323_081_Ca009TrN_MaWOT_ode23t_1.png","figure")</f>
        <v>figure</v>
      </c>
      <c r="P82" t="s">
        <v>15</v>
      </c>
    </row>
    <row r="83" spans="1:16" x14ac:dyDescent="0.25">
      <c r="A83">
        <v>82</v>
      </c>
      <c r="B83">
        <v>9</v>
      </c>
      <c r="C83" t="s">
        <v>16</v>
      </c>
      <c r="D83" t="s">
        <v>17</v>
      </c>
      <c r="E83" t="s">
        <v>51</v>
      </c>
      <c r="F83" t="s">
        <v>19</v>
      </c>
      <c r="G83" t="s">
        <v>25</v>
      </c>
      <c r="H83" t="s">
        <v>21</v>
      </c>
      <c r="I83" t="s">
        <v>24</v>
      </c>
      <c r="J83" t="s">
        <v>23</v>
      </c>
      <c r="K83">
        <v>522</v>
      </c>
      <c r="L83">
        <v>21.295197300000002</v>
      </c>
      <c r="M83">
        <v>71.662603184451285</v>
      </c>
      <c r="N83">
        <v>-0.39424613028807659</v>
      </c>
      <c r="O83" s="1" t="str">
        <f>HYPERLINK(".\sm_car_210927_2323\sm_car_210927_2323_082_Ca009TrN_MaLSS_ode23t_1.png","figure")</f>
        <v>figure</v>
      </c>
      <c r="P83" t="s">
        <v>15</v>
      </c>
    </row>
    <row r="84" spans="1:16" x14ac:dyDescent="0.25">
      <c r="A84">
        <v>83</v>
      </c>
      <c r="B84">
        <v>10</v>
      </c>
      <c r="C84" t="s">
        <v>16</v>
      </c>
      <c r="D84" t="s">
        <v>17</v>
      </c>
      <c r="E84" t="s">
        <v>51</v>
      </c>
      <c r="F84" t="s">
        <v>19</v>
      </c>
      <c r="G84" t="s">
        <v>26</v>
      </c>
      <c r="H84" t="s">
        <v>21</v>
      </c>
      <c r="I84" t="s">
        <v>22</v>
      </c>
      <c r="J84" t="s">
        <v>23</v>
      </c>
      <c r="K84">
        <v>369</v>
      </c>
      <c r="L84">
        <v>23.085189</v>
      </c>
      <c r="M84">
        <v>232.8661609961917</v>
      </c>
      <c r="N84">
        <v>0.13673925264732253</v>
      </c>
      <c r="O84" s="1" t="str">
        <f>HYPERLINK(".\sm_car_210927_2323\sm_car_210927_2323_083_Ca010TrN_MaWOT_ode23t_1.png","figure")</f>
        <v>figure</v>
      </c>
      <c r="P84" t="s">
        <v>15</v>
      </c>
    </row>
    <row r="85" spans="1:16" x14ac:dyDescent="0.25">
      <c r="A85">
        <v>84</v>
      </c>
      <c r="B85">
        <v>10</v>
      </c>
      <c r="C85" t="s">
        <v>16</v>
      </c>
      <c r="D85" t="s">
        <v>17</v>
      </c>
      <c r="E85" t="s">
        <v>51</v>
      </c>
      <c r="F85" t="s">
        <v>19</v>
      </c>
      <c r="G85" t="s">
        <v>26</v>
      </c>
      <c r="H85" t="s">
        <v>21</v>
      </c>
      <c r="I85" t="s">
        <v>24</v>
      </c>
      <c r="J85" t="s">
        <v>23</v>
      </c>
      <c r="K85">
        <v>514</v>
      </c>
      <c r="L85">
        <v>27.2945168</v>
      </c>
      <c r="M85">
        <v>71.668644792514172</v>
      </c>
      <c r="N85">
        <v>-0.39239713951718663</v>
      </c>
      <c r="O85" s="1" t="str">
        <f>HYPERLINK(".\sm_car_210927_2323\sm_car_210927_2323_084_Ca010TrN_MaLSS_ode23t_1.png","figure")</f>
        <v>figure</v>
      </c>
      <c r="P85" t="s">
        <v>15</v>
      </c>
    </row>
    <row r="86" spans="1:16" x14ac:dyDescent="0.25">
      <c r="A86">
        <v>85</v>
      </c>
      <c r="B86">
        <v>11</v>
      </c>
      <c r="C86" t="s">
        <v>16</v>
      </c>
      <c r="D86" t="s">
        <v>17</v>
      </c>
      <c r="E86" t="s">
        <v>51</v>
      </c>
      <c r="F86" t="s">
        <v>19</v>
      </c>
      <c r="G86" t="s">
        <v>27</v>
      </c>
      <c r="H86" t="s">
        <v>21</v>
      </c>
      <c r="I86" t="s">
        <v>22</v>
      </c>
      <c r="J86" t="s">
        <v>23</v>
      </c>
      <c r="K86">
        <v>426</v>
      </c>
      <c r="L86">
        <v>24.217451199999999</v>
      </c>
      <c r="M86">
        <v>232.45758508355638</v>
      </c>
      <c r="N86">
        <v>0.13493814241831814</v>
      </c>
      <c r="O86" s="1" t="str">
        <f>HYPERLINK(".\sm_car_210927_2323\sm_car_210927_2323_085_Ca011TrN_MaWOT_ode23t_1.png","figure")</f>
        <v>figure</v>
      </c>
      <c r="P86" t="s">
        <v>15</v>
      </c>
    </row>
    <row r="87" spans="1:16" x14ac:dyDescent="0.25">
      <c r="A87">
        <v>86</v>
      </c>
      <c r="B87">
        <v>11</v>
      </c>
      <c r="C87" t="s">
        <v>16</v>
      </c>
      <c r="D87" t="s">
        <v>17</v>
      </c>
      <c r="E87" t="s">
        <v>51</v>
      </c>
      <c r="F87" t="s">
        <v>19</v>
      </c>
      <c r="G87" t="s">
        <v>27</v>
      </c>
      <c r="H87" t="s">
        <v>21</v>
      </c>
      <c r="I87" t="s">
        <v>24</v>
      </c>
      <c r="J87" t="s">
        <v>23</v>
      </c>
      <c r="K87">
        <v>553</v>
      </c>
      <c r="L87">
        <v>29.595950299999998</v>
      </c>
      <c r="M87">
        <v>71.539837741268485</v>
      </c>
      <c r="N87">
        <v>-0.38718459159300528</v>
      </c>
      <c r="O87" s="1" t="str">
        <f>HYPERLINK(".\sm_car_210927_2323\sm_car_210927_2323_086_Ca011TrN_MaLSS_ode23t_1.png","figure")</f>
        <v>figure</v>
      </c>
      <c r="P87" t="s">
        <v>15</v>
      </c>
    </row>
    <row r="88" spans="1:16" x14ac:dyDescent="0.25">
      <c r="A88">
        <v>87</v>
      </c>
      <c r="B88">
        <v>12</v>
      </c>
      <c r="C88" t="s">
        <v>16</v>
      </c>
      <c r="D88" t="s">
        <v>17</v>
      </c>
      <c r="E88" t="s">
        <v>51</v>
      </c>
      <c r="F88" t="s">
        <v>28</v>
      </c>
      <c r="G88" t="s">
        <v>20</v>
      </c>
      <c r="H88" t="s">
        <v>21</v>
      </c>
      <c r="I88" t="s">
        <v>22</v>
      </c>
      <c r="J88" t="s">
        <v>23</v>
      </c>
      <c r="K88">
        <v>942</v>
      </c>
      <c r="L88">
        <v>17.575481</v>
      </c>
      <c r="M88">
        <v>233.90494350426334</v>
      </c>
      <c r="N88">
        <v>0.11878273434966052</v>
      </c>
      <c r="O88" s="1" t="str">
        <f>HYPERLINK(".\sm_car_210927_2323\sm_car_210927_2323_087_Ca012TrN_MaWOT_ode23t_1.png","figure")</f>
        <v>figure</v>
      </c>
      <c r="P88" t="s">
        <v>15</v>
      </c>
    </row>
    <row r="89" spans="1:16" x14ac:dyDescent="0.25">
      <c r="A89">
        <v>88</v>
      </c>
      <c r="B89">
        <v>12</v>
      </c>
      <c r="C89" t="s">
        <v>16</v>
      </c>
      <c r="D89" t="s">
        <v>17</v>
      </c>
      <c r="E89" t="s">
        <v>51</v>
      </c>
      <c r="F89" t="s">
        <v>28</v>
      </c>
      <c r="G89" t="s">
        <v>20</v>
      </c>
      <c r="H89" t="s">
        <v>21</v>
      </c>
      <c r="I89" t="s">
        <v>24</v>
      </c>
      <c r="J89" t="s">
        <v>23</v>
      </c>
      <c r="K89">
        <v>1062</v>
      </c>
      <c r="L89">
        <v>20.094795399999999</v>
      </c>
      <c r="M89">
        <v>71.998470052957742</v>
      </c>
      <c r="N89">
        <v>-0.40066315472548386</v>
      </c>
      <c r="O89" s="1" t="str">
        <f>HYPERLINK(".\sm_car_210927_2323\sm_car_210927_2323_088_Ca012TrN_MaLSS_ode23t_1.png","figure")</f>
        <v>figure</v>
      </c>
      <c r="P89" t="s">
        <v>15</v>
      </c>
    </row>
    <row r="90" spans="1:16" x14ac:dyDescent="0.25">
      <c r="A90">
        <v>89</v>
      </c>
      <c r="B90">
        <v>13</v>
      </c>
      <c r="C90" t="s">
        <v>16</v>
      </c>
      <c r="D90" t="s">
        <v>17</v>
      </c>
      <c r="E90" t="s">
        <v>51</v>
      </c>
      <c r="F90" t="s">
        <v>28</v>
      </c>
      <c r="G90" t="s">
        <v>25</v>
      </c>
      <c r="H90" t="s">
        <v>21</v>
      </c>
      <c r="I90" t="s">
        <v>22</v>
      </c>
      <c r="J90" t="s">
        <v>23</v>
      </c>
      <c r="K90">
        <v>914</v>
      </c>
      <c r="L90">
        <v>17.968058200000002</v>
      </c>
      <c r="M90">
        <v>232.978078275499</v>
      </c>
      <c r="N90">
        <v>0.11483326397429759</v>
      </c>
      <c r="O90" s="1" t="str">
        <f>HYPERLINK(".\sm_car_210927_2323\sm_car_210927_2323_089_Ca013TrN_MaWOT_ode23t_1.png","figure")</f>
        <v>figure</v>
      </c>
      <c r="P90" t="s">
        <v>15</v>
      </c>
    </row>
    <row r="91" spans="1:16" x14ac:dyDescent="0.25">
      <c r="A91">
        <v>90</v>
      </c>
      <c r="B91">
        <v>13</v>
      </c>
      <c r="C91" t="s">
        <v>16</v>
      </c>
      <c r="D91" t="s">
        <v>17</v>
      </c>
      <c r="E91" t="s">
        <v>51</v>
      </c>
      <c r="F91" t="s">
        <v>28</v>
      </c>
      <c r="G91" t="s">
        <v>25</v>
      </c>
      <c r="H91" t="s">
        <v>21</v>
      </c>
      <c r="I91" t="s">
        <v>24</v>
      </c>
      <c r="J91" t="s">
        <v>23</v>
      </c>
      <c r="K91">
        <v>1036</v>
      </c>
      <c r="L91">
        <v>21.540940599999999</v>
      </c>
      <c r="M91">
        <v>71.717360844840286</v>
      </c>
      <c r="N91">
        <v>-0.39802670243694671</v>
      </c>
      <c r="O91" s="1" t="str">
        <f>HYPERLINK(".\sm_car_210927_2323\sm_car_210927_2323_090_Ca013TrN_MaLSS_ode23t_1.png","figure")</f>
        <v>figure</v>
      </c>
      <c r="P91" t="s">
        <v>15</v>
      </c>
    </row>
    <row r="92" spans="1:16" x14ac:dyDescent="0.25">
      <c r="A92">
        <v>91</v>
      </c>
      <c r="B92">
        <v>14</v>
      </c>
      <c r="C92" t="s">
        <v>16</v>
      </c>
      <c r="D92" t="s">
        <v>17</v>
      </c>
      <c r="E92" t="s">
        <v>51</v>
      </c>
      <c r="F92" t="s">
        <v>28</v>
      </c>
      <c r="G92" t="s">
        <v>26</v>
      </c>
      <c r="H92" t="s">
        <v>21</v>
      </c>
      <c r="I92" t="s">
        <v>22</v>
      </c>
      <c r="J92" t="s">
        <v>23</v>
      </c>
      <c r="K92">
        <v>931</v>
      </c>
      <c r="L92">
        <v>23.438787300000001</v>
      </c>
      <c r="M92">
        <v>232.82488852214192</v>
      </c>
      <c r="N92">
        <v>0.13677104274268737</v>
      </c>
      <c r="O92" s="1" t="str">
        <f>HYPERLINK(".\sm_car_210927_2323\sm_car_210927_2323_091_Ca014TrN_MaWOT_ode23t_1.png","figure")</f>
        <v>figure</v>
      </c>
      <c r="P92" t="s">
        <v>15</v>
      </c>
    </row>
    <row r="93" spans="1:16" x14ac:dyDescent="0.25">
      <c r="A93">
        <v>92</v>
      </c>
      <c r="B93">
        <v>14</v>
      </c>
      <c r="C93" t="s">
        <v>16</v>
      </c>
      <c r="D93" t="s">
        <v>17</v>
      </c>
      <c r="E93" t="s">
        <v>51</v>
      </c>
      <c r="F93" t="s">
        <v>28</v>
      </c>
      <c r="G93" t="s">
        <v>26</v>
      </c>
      <c r="H93" t="s">
        <v>21</v>
      </c>
      <c r="I93" t="s">
        <v>24</v>
      </c>
      <c r="J93" t="s">
        <v>23</v>
      </c>
      <c r="K93">
        <v>1088</v>
      </c>
      <c r="L93">
        <v>31.163698799999999</v>
      </c>
      <c r="M93">
        <v>71.70595122381421</v>
      </c>
      <c r="N93">
        <v>-0.3958989948102149</v>
      </c>
      <c r="O93" s="1" t="str">
        <f>HYPERLINK(".\sm_car_210927_2323\sm_car_210927_2323_092_Ca014TrN_MaLSS_ode23t_1.png","figure")</f>
        <v>figure</v>
      </c>
      <c r="P93" t="s">
        <v>15</v>
      </c>
    </row>
    <row r="94" spans="1:16" x14ac:dyDescent="0.25">
      <c r="A94">
        <v>93</v>
      </c>
      <c r="B94">
        <v>15</v>
      </c>
      <c r="C94" t="s">
        <v>16</v>
      </c>
      <c r="D94" t="s">
        <v>17</v>
      </c>
      <c r="E94" t="s">
        <v>51</v>
      </c>
      <c r="F94" t="s">
        <v>28</v>
      </c>
      <c r="G94" t="s">
        <v>27</v>
      </c>
      <c r="H94" t="s">
        <v>21</v>
      </c>
      <c r="I94" t="s">
        <v>22</v>
      </c>
      <c r="J94" t="s">
        <v>23</v>
      </c>
      <c r="K94">
        <v>966</v>
      </c>
      <c r="L94">
        <v>23.7855101</v>
      </c>
      <c r="M94">
        <v>232.2653486378031</v>
      </c>
      <c r="N94">
        <v>0.13508730322458909</v>
      </c>
      <c r="O94" s="1" t="str">
        <f>HYPERLINK(".\sm_car_210927_2323\sm_car_210927_2323_093_Ca015TrN_MaWOT_ode23t_1.png","figure")</f>
        <v>figure</v>
      </c>
      <c r="P94" t="s">
        <v>15</v>
      </c>
    </row>
    <row r="95" spans="1:16" x14ac:dyDescent="0.25">
      <c r="A95">
        <v>94</v>
      </c>
      <c r="B95">
        <v>15</v>
      </c>
      <c r="C95" t="s">
        <v>16</v>
      </c>
      <c r="D95" t="s">
        <v>17</v>
      </c>
      <c r="E95" t="s">
        <v>51</v>
      </c>
      <c r="F95" t="s">
        <v>28</v>
      </c>
      <c r="G95" t="s">
        <v>27</v>
      </c>
      <c r="H95" t="s">
        <v>21</v>
      </c>
      <c r="I95" t="s">
        <v>24</v>
      </c>
      <c r="J95" t="s">
        <v>23</v>
      </c>
      <c r="K95">
        <v>1085</v>
      </c>
      <c r="L95">
        <v>28.046836899999999</v>
      </c>
      <c r="M95">
        <v>71.578460501786068</v>
      </c>
      <c r="N95">
        <v>-0.39244284472406332</v>
      </c>
      <c r="O95" s="1" t="str">
        <f>HYPERLINK(".\sm_car_210927_2323\sm_car_210927_2323_094_Ca015TrN_MaLSS_ode23t_1.png","figure")</f>
        <v>figure</v>
      </c>
      <c r="P95" t="s">
        <v>15</v>
      </c>
    </row>
    <row r="96" spans="1:16" x14ac:dyDescent="0.25">
      <c r="A96">
        <v>95</v>
      </c>
      <c r="B96">
        <v>120</v>
      </c>
      <c r="C96" t="s">
        <v>16</v>
      </c>
      <c r="D96" t="s">
        <v>35</v>
      </c>
      <c r="E96" t="s">
        <v>51</v>
      </c>
      <c r="F96" t="s">
        <v>19</v>
      </c>
      <c r="G96" t="s">
        <v>20</v>
      </c>
      <c r="H96" t="s">
        <v>21</v>
      </c>
      <c r="I96" t="s">
        <v>22</v>
      </c>
      <c r="J96" t="s">
        <v>23</v>
      </c>
      <c r="K96">
        <v>438</v>
      </c>
      <c r="L96">
        <v>5.5809699999999998</v>
      </c>
      <c r="M96">
        <v>242.66310253546908</v>
      </c>
      <c r="N96">
        <v>0.23216901227943942</v>
      </c>
      <c r="O96" s="1" t="str">
        <f>HYPERLINK(".\sm_car_210927_2323\sm_car_210927_2323_095_Ca120TrN_MaWOT_ode23t_1.png","figure")</f>
        <v>figure</v>
      </c>
      <c r="P96" t="s">
        <v>15</v>
      </c>
    </row>
    <row r="97" spans="1:16" x14ac:dyDescent="0.25">
      <c r="A97">
        <v>96</v>
      </c>
      <c r="B97">
        <v>120</v>
      </c>
      <c r="C97" t="s">
        <v>16</v>
      </c>
      <c r="D97" t="s">
        <v>35</v>
      </c>
      <c r="E97" t="s">
        <v>51</v>
      </c>
      <c r="F97" t="s">
        <v>19</v>
      </c>
      <c r="G97" t="s">
        <v>20</v>
      </c>
      <c r="H97" t="s">
        <v>21</v>
      </c>
      <c r="I97" t="s">
        <v>24</v>
      </c>
      <c r="J97" t="s">
        <v>23</v>
      </c>
      <c r="K97">
        <v>549</v>
      </c>
      <c r="L97">
        <v>6.0921142000000001</v>
      </c>
      <c r="M97">
        <v>74.673493080407212</v>
      </c>
      <c r="N97">
        <v>-0.33842262733980732</v>
      </c>
      <c r="O97" s="1" t="str">
        <f>HYPERLINK(".\sm_car_210927_2323\sm_car_210927_2323_096_Ca120TrN_MaLSS_ode23t_1.png","figure")</f>
        <v>figure</v>
      </c>
      <c r="P97" t="s">
        <v>15</v>
      </c>
    </row>
    <row r="98" spans="1:16" x14ac:dyDescent="0.25">
      <c r="A98">
        <v>97</v>
      </c>
      <c r="B98">
        <v>121</v>
      </c>
      <c r="C98" t="s">
        <v>16</v>
      </c>
      <c r="D98" t="s">
        <v>35</v>
      </c>
      <c r="E98" t="s">
        <v>51</v>
      </c>
      <c r="F98" t="s">
        <v>19</v>
      </c>
      <c r="G98" t="s">
        <v>25</v>
      </c>
      <c r="H98" t="s">
        <v>21</v>
      </c>
      <c r="I98" t="s">
        <v>22</v>
      </c>
      <c r="J98" t="s">
        <v>23</v>
      </c>
      <c r="K98">
        <v>444</v>
      </c>
      <c r="L98">
        <v>6.5529685999999998</v>
      </c>
      <c r="M98">
        <v>241.59729883150067</v>
      </c>
      <c r="N98">
        <v>0.2287461178151006</v>
      </c>
      <c r="O98" s="1" t="str">
        <f>HYPERLINK(".\sm_car_210927_2323\sm_car_210927_2323_097_Ca121TrN_MaWOT_ode23t_1.png","figure")</f>
        <v>figure</v>
      </c>
      <c r="P98" t="s">
        <v>15</v>
      </c>
    </row>
    <row r="99" spans="1:16" x14ac:dyDescent="0.25">
      <c r="A99">
        <v>98</v>
      </c>
      <c r="B99">
        <v>121</v>
      </c>
      <c r="C99" t="s">
        <v>16</v>
      </c>
      <c r="D99" t="s">
        <v>35</v>
      </c>
      <c r="E99" t="s">
        <v>51</v>
      </c>
      <c r="F99" t="s">
        <v>19</v>
      </c>
      <c r="G99" t="s">
        <v>25</v>
      </c>
      <c r="H99" t="s">
        <v>21</v>
      </c>
      <c r="I99" t="s">
        <v>24</v>
      </c>
      <c r="J99" t="s">
        <v>23</v>
      </c>
      <c r="K99">
        <v>563</v>
      </c>
      <c r="L99">
        <v>7.1276488000000002</v>
      </c>
      <c r="M99">
        <v>74.3650190785212</v>
      </c>
      <c r="N99">
        <v>-0.33008685304226215</v>
      </c>
      <c r="O99" s="1" t="str">
        <f>HYPERLINK(".\sm_car_210927_2323\sm_car_210927_2323_098_Ca121TrN_MaLSS_ode23t_1.png","figure")</f>
        <v>figure</v>
      </c>
      <c r="P99" t="s">
        <v>15</v>
      </c>
    </row>
    <row r="100" spans="1:16" x14ac:dyDescent="0.25">
      <c r="A100">
        <v>99</v>
      </c>
      <c r="B100">
        <v>122</v>
      </c>
      <c r="C100" t="s">
        <v>16</v>
      </c>
      <c r="D100" t="s">
        <v>35</v>
      </c>
      <c r="E100" t="s">
        <v>51</v>
      </c>
      <c r="F100" t="s">
        <v>19</v>
      </c>
      <c r="G100" t="s">
        <v>26</v>
      </c>
      <c r="H100" t="s">
        <v>21</v>
      </c>
      <c r="I100" t="s">
        <v>22</v>
      </c>
      <c r="J100" t="s">
        <v>23</v>
      </c>
      <c r="K100">
        <v>412</v>
      </c>
      <c r="L100">
        <v>8.5587745000000002</v>
      </c>
      <c r="M100">
        <v>241.52470974554333</v>
      </c>
      <c r="N100">
        <v>0.2285983892328721</v>
      </c>
      <c r="O100" s="1" t="str">
        <f>HYPERLINK(".\sm_car_210927_2323\sm_car_210927_2323_099_Ca122TrN_MaWOT_ode23t_1.png","figure")</f>
        <v>figure</v>
      </c>
      <c r="P100" t="s">
        <v>15</v>
      </c>
    </row>
    <row r="101" spans="1:16" x14ac:dyDescent="0.25">
      <c r="A101">
        <v>100</v>
      </c>
      <c r="B101">
        <v>122</v>
      </c>
      <c r="C101" t="s">
        <v>16</v>
      </c>
      <c r="D101" t="s">
        <v>35</v>
      </c>
      <c r="E101" t="s">
        <v>51</v>
      </c>
      <c r="F101" t="s">
        <v>19</v>
      </c>
      <c r="G101" t="s">
        <v>26</v>
      </c>
      <c r="H101" t="s">
        <v>21</v>
      </c>
      <c r="I101" t="s">
        <v>24</v>
      </c>
      <c r="J101" t="s">
        <v>23</v>
      </c>
      <c r="K101">
        <v>529</v>
      </c>
      <c r="L101">
        <v>9.4977373000000007</v>
      </c>
      <c r="M101">
        <v>74.355680814948215</v>
      </c>
      <c r="N101">
        <v>-0.33454562371327051</v>
      </c>
      <c r="O101" s="1" t="str">
        <f>HYPERLINK(".\sm_car_210927_2323\sm_car_210927_2323_100_Ca122TrN_MaLSS_ode23t_1.png","figure")</f>
        <v>figure</v>
      </c>
      <c r="P101" t="s">
        <v>15</v>
      </c>
    </row>
    <row r="102" spans="1:16" x14ac:dyDescent="0.25">
      <c r="A102">
        <v>101</v>
      </c>
      <c r="B102">
        <v>123</v>
      </c>
      <c r="C102" t="s">
        <v>16</v>
      </c>
      <c r="D102" t="s">
        <v>35</v>
      </c>
      <c r="E102" t="s">
        <v>51</v>
      </c>
      <c r="F102" t="s">
        <v>19</v>
      </c>
      <c r="G102" t="s">
        <v>27</v>
      </c>
      <c r="H102" t="s">
        <v>21</v>
      </c>
      <c r="I102" t="s">
        <v>22</v>
      </c>
      <c r="J102" t="s">
        <v>23</v>
      </c>
      <c r="K102">
        <v>458</v>
      </c>
      <c r="L102">
        <v>9.0795663999999991</v>
      </c>
      <c r="M102">
        <v>241.09441846309466</v>
      </c>
      <c r="N102">
        <v>0.22711132704657278</v>
      </c>
      <c r="O102" s="1" t="str">
        <f>HYPERLINK(".\sm_car_210927_2323\sm_car_210927_2323_101_Ca123TrN_MaWOT_ode23t_1.png","figure")</f>
        <v>figure</v>
      </c>
      <c r="P102" t="s">
        <v>15</v>
      </c>
    </row>
    <row r="103" spans="1:16" x14ac:dyDescent="0.25">
      <c r="A103">
        <v>102</v>
      </c>
      <c r="B103">
        <v>123</v>
      </c>
      <c r="C103" t="s">
        <v>16</v>
      </c>
      <c r="D103" t="s">
        <v>35</v>
      </c>
      <c r="E103" t="s">
        <v>51</v>
      </c>
      <c r="F103" t="s">
        <v>19</v>
      </c>
      <c r="G103" t="s">
        <v>27</v>
      </c>
      <c r="H103" t="s">
        <v>21</v>
      </c>
      <c r="I103" t="s">
        <v>24</v>
      </c>
      <c r="J103" t="s">
        <v>23</v>
      </c>
      <c r="K103">
        <v>576</v>
      </c>
      <c r="L103">
        <v>9.7729754</v>
      </c>
      <c r="M103">
        <v>74.213136061189275</v>
      </c>
      <c r="N103">
        <v>-0.33271103967078902</v>
      </c>
      <c r="O103" s="1" t="str">
        <f>HYPERLINK(".\sm_car_210927_2323\sm_car_210927_2323_102_Ca123TrN_MaLSS_ode23t_1.png","figure")</f>
        <v>figure</v>
      </c>
      <c r="P103" t="s">
        <v>15</v>
      </c>
    </row>
    <row r="104" spans="1:16" x14ac:dyDescent="0.25">
      <c r="A104">
        <v>103</v>
      </c>
      <c r="B104">
        <v>124</v>
      </c>
      <c r="C104" t="s">
        <v>16</v>
      </c>
      <c r="D104" t="s">
        <v>35</v>
      </c>
      <c r="E104" t="s">
        <v>51</v>
      </c>
      <c r="F104" t="s">
        <v>28</v>
      </c>
      <c r="G104" t="s">
        <v>20</v>
      </c>
      <c r="H104" t="s">
        <v>21</v>
      </c>
      <c r="I104" t="s">
        <v>22</v>
      </c>
      <c r="J104" t="s">
        <v>23</v>
      </c>
      <c r="K104">
        <v>1028</v>
      </c>
      <c r="L104">
        <v>7.0914222999999996</v>
      </c>
      <c r="M104">
        <v>242.66125333443594</v>
      </c>
      <c r="N104">
        <v>0.23305485375850374</v>
      </c>
      <c r="O104" s="1" t="str">
        <f>HYPERLINK(".\sm_car_210927_2323\sm_car_210927_2323_103_Ca124TrN_MaWOT_ode23t_1.png","figure")</f>
        <v>figure</v>
      </c>
      <c r="P104" t="s">
        <v>15</v>
      </c>
    </row>
    <row r="105" spans="1:16" x14ac:dyDescent="0.25">
      <c r="A105">
        <v>104</v>
      </c>
      <c r="B105">
        <v>124</v>
      </c>
      <c r="C105" t="s">
        <v>16</v>
      </c>
      <c r="D105" t="s">
        <v>35</v>
      </c>
      <c r="E105" t="s">
        <v>51</v>
      </c>
      <c r="F105" t="s">
        <v>28</v>
      </c>
      <c r="G105" t="s">
        <v>20</v>
      </c>
      <c r="H105" t="s">
        <v>21</v>
      </c>
      <c r="I105" t="s">
        <v>24</v>
      </c>
      <c r="J105" t="s">
        <v>23</v>
      </c>
      <c r="K105">
        <v>1163</v>
      </c>
      <c r="L105">
        <v>7.8537645999999999</v>
      </c>
      <c r="M105">
        <v>74.666113520058929</v>
      </c>
      <c r="N105">
        <v>-0.34189280189020238</v>
      </c>
      <c r="O105" s="1" t="str">
        <f>HYPERLINK(".\sm_car_210927_2323\sm_car_210927_2323_104_Ca124TrN_MaLSS_ode23t_1.png","figure")</f>
        <v>figure</v>
      </c>
      <c r="P105" t="s">
        <v>15</v>
      </c>
    </row>
    <row r="106" spans="1:16" x14ac:dyDescent="0.25">
      <c r="A106">
        <v>105</v>
      </c>
      <c r="B106">
        <v>125</v>
      </c>
      <c r="C106" t="s">
        <v>16</v>
      </c>
      <c r="D106" t="s">
        <v>35</v>
      </c>
      <c r="E106" t="s">
        <v>51</v>
      </c>
      <c r="F106" t="s">
        <v>28</v>
      </c>
      <c r="G106" t="s">
        <v>25</v>
      </c>
      <c r="H106" t="s">
        <v>21</v>
      </c>
      <c r="I106" t="s">
        <v>22</v>
      </c>
      <c r="J106" t="s">
        <v>23</v>
      </c>
      <c r="K106">
        <v>1036</v>
      </c>
      <c r="L106">
        <v>7.7880428999999998</v>
      </c>
      <c r="M106">
        <v>241.42614980605586</v>
      </c>
      <c r="N106">
        <v>0.22932964046719506</v>
      </c>
      <c r="O106" s="1" t="str">
        <f>HYPERLINK(".\sm_car_210927_2323\sm_car_210927_2323_105_Ca125TrN_MaWOT_ode23t_1.png","figure")</f>
        <v>figure</v>
      </c>
      <c r="P106" t="s">
        <v>15</v>
      </c>
    </row>
    <row r="107" spans="1:16" x14ac:dyDescent="0.25">
      <c r="A107">
        <v>106</v>
      </c>
      <c r="B107">
        <v>125</v>
      </c>
      <c r="C107" t="s">
        <v>16</v>
      </c>
      <c r="D107" t="s">
        <v>35</v>
      </c>
      <c r="E107" t="s">
        <v>51</v>
      </c>
      <c r="F107" t="s">
        <v>28</v>
      </c>
      <c r="G107" t="s">
        <v>25</v>
      </c>
      <c r="H107" t="s">
        <v>21</v>
      </c>
      <c r="I107" t="s">
        <v>24</v>
      </c>
      <c r="J107" t="s">
        <v>23</v>
      </c>
      <c r="K107">
        <v>1165</v>
      </c>
      <c r="L107">
        <v>9.0704730999999992</v>
      </c>
      <c r="M107">
        <v>74.34781985354465</v>
      </c>
      <c r="N107">
        <v>-0.33657879338177443</v>
      </c>
      <c r="O107" s="1" t="str">
        <f>HYPERLINK(".\sm_car_210927_2323\sm_car_210927_2323_106_Ca125TrN_MaLSS_ode23t_1.png","figure")</f>
        <v>figure</v>
      </c>
      <c r="P107" t="s">
        <v>15</v>
      </c>
    </row>
    <row r="108" spans="1:16" x14ac:dyDescent="0.25">
      <c r="A108">
        <v>107</v>
      </c>
      <c r="B108">
        <v>126</v>
      </c>
      <c r="C108" t="s">
        <v>16</v>
      </c>
      <c r="D108" t="s">
        <v>35</v>
      </c>
      <c r="E108" t="s">
        <v>51</v>
      </c>
      <c r="F108" t="s">
        <v>28</v>
      </c>
      <c r="G108" t="s">
        <v>26</v>
      </c>
      <c r="H108" t="s">
        <v>21</v>
      </c>
      <c r="I108" t="s">
        <v>22</v>
      </c>
      <c r="J108" t="s">
        <v>23</v>
      </c>
      <c r="K108">
        <v>1024</v>
      </c>
      <c r="L108">
        <v>10.1051903</v>
      </c>
      <c r="M108">
        <v>241.6232166038219</v>
      </c>
      <c r="N108">
        <v>0.22958764126063813</v>
      </c>
      <c r="O108" s="1" t="str">
        <f>HYPERLINK(".\sm_car_210927_2323\sm_car_210927_2323_107_Ca126TrN_MaWOT_ode23t_1.png","figure")</f>
        <v>figure</v>
      </c>
      <c r="P108" t="s">
        <v>15</v>
      </c>
    </row>
    <row r="109" spans="1:16" x14ac:dyDescent="0.25">
      <c r="A109">
        <v>108</v>
      </c>
      <c r="B109">
        <v>126</v>
      </c>
      <c r="C109" t="s">
        <v>16</v>
      </c>
      <c r="D109" t="s">
        <v>35</v>
      </c>
      <c r="E109" t="s">
        <v>51</v>
      </c>
      <c r="F109" t="s">
        <v>28</v>
      </c>
      <c r="G109" t="s">
        <v>26</v>
      </c>
      <c r="H109" t="s">
        <v>21</v>
      </c>
      <c r="I109" t="s">
        <v>24</v>
      </c>
      <c r="J109" t="s">
        <v>23</v>
      </c>
      <c r="K109">
        <v>1170</v>
      </c>
      <c r="L109">
        <v>12.860223700000001</v>
      </c>
      <c r="M109">
        <v>74.346780857810188</v>
      </c>
      <c r="N109">
        <v>-0.33506438943238537</v>
      </c>
      <c r="O109" s="1" t="str">
        <f>HYPERLINK(".\sm_car_210927_2323\sm_car_210927_2323_108_Ca126TrN_MaLSS_ode23t_1.png","figure")</f>
        <v>figure</v>
      </c>
      <c r="P109" t="s">
        <v>15</v>
      </c>
    </row>
    <row r="110" spans="1:16" x14ac:dyDescent="0.25">
      <c r="A110">
        <v>109</v>
      </c>
      <c r="B110">
        <v>127</v>
      </c>
      <c r="C110" t="s">
        <v>16</v>
      </c>
      <c r="D110" t="s">
        <v>35</v>
      </c>
      <c r="E110" t="s">
        <v>51</v>
      </c>
      <c r="F110" t="s">
        <v>28</v>
      </c>
      <c r="G110" t="s">
        <v>27</v>
      </c>
      <c r="H110" t="s">
        <v>21</v>
      </c>
      <c r="I110" t="s">
        <v>22</v>
      </c>
      <c r="J110" t="s">
        <v>23</v>
      </c>
      <c r="K110">
        <v>1065</v>
      </c>
      <c r="L110">
        <v>10.524983000000001</v>
      </c>
      <c r="M110">
        <v>241.14104768859085</v>
      </c>
      <c r="N110">
        <v>0.22805639181457379</v>
      </c>
      <c r="O110" s="1" t="str">
        <f>HYPERLINK(".\sm_car_210927_2323\sm_car_210927_2323_109_Ca127TrN_MaWOT_ode23t_1.png","figure")</f>
        <v>figure</v>
      </c>
      <c r="P110" t="s">
        <v>15</v>
      </c>
    </row>
    <row r="111" spans="1:16" x14ac:dyDescent="0.25">
      <c r="A111">
        <v>110</v>
      </c>
      <c r="B111">
        <v>127</v>
      </c>
      <c r="C111" t="s">
        <v>16</v>
      </c>
      <c r="D111" t="s">
        <v>35</v>
      </c>
      <c r="E111" t="s">
        <v>51</v>
      </c>
      <c r="F111" t="s">
        <v>28</v>
      </c>
      <c r="G111" t="s">
        <v>27</v>
      </c>
      <c r="H111" t="s">
        <v>21</v>
      </c>
      <c r="I111" t="s">
        <v>24</v>
      </c>
      <c r="J111" t="s">
        <v>23</v>
      </c>
      <c r="K111">
        <v>1194</v>
      </c>
      <c r="L111">
        <v>12.8111009</v>
      </c>
      <c r="M111">
        <v>74.195968681592788</v>
      </c>
      <c r="N111">
        <v>-0.33480736195416855</v>
      </c>
      <c r="O111" s="1" t="str">
        <f>HYPERLINK(".\sm_car_210927_2323\sm_car_210927_2323_110_Ca127TrN_MaLSS_ode23t_1.png","figure")</f>
        <v>figure</v>
      </c>
      <c r="P111" t="s">
        <v>15</v>
      </c>
    </row>
    <row r="112" spans="1:16" x14ac:dyDescent="0.25">
      <c r="A112">
        <v>111</v>
      </c>
      <c r="B112">
        <v>140</v>
      </c>
      <c r="C112" t="s">
        <v>45</v>
      </c>
      <c r="D112" t="s">
        <v>17</v>
      </c>
      <c r="E112" t="s">
        <v>51</v>
      </c>
      <c r="F112" t="s">
        <v>19</v>
      </c>
      <c r="G112" t="s">
        <v>26</v>
      </c>
      <c r="H112" t="s">
        <v>21</v>
      </c>
      <c r="I112" t="s">
        <v>22</v>
      </c>
      <c r="J112" t="s">
        <v>23</v>
      </c>
      <c r="K112">
        <v>501</v>
      </c>
      <c r="L112">
        <v>23.737867699999999</v>
      </c>
      <c r="M112">
        <v>411.71451522278079</v>
      </c>
      <c r="N112">
        <v>0.3804527999723355</v>
      </c>
      <c r="O112" s="1" t="str">
        <f>HYPERLINK(".\sm_car_210927_2323\sm_car_210927_2323_111_Ca140TrN_MaWOT_ode23t_1.png","figure")</f>
        <v>figure</v>
      </c>
      <c r="P112" t="s">
        <v>15</v>
      </c>
    </row>
    <row r="113" spans="1:16" x14ac:dyDescent="0.25">
      <c r="A113">
        <v>112</v>
      </c>
      <c r="B113">
        <v>140</v>
      </c>
      <c r="C113" t="s">
        <v>45</v>
      </c>
      <c r="D113" t="s">
        <v>17</v>
      </c>
      <c r="E113" t="s">
        <v>51</v>
      </c>
      <c r="F113" t="s">
        <v>19</v>
      </c>
      <c r="G113" t="s">
        <v>26</v>
      </c>
      <c r="H113" t="s">
        <v>21</v>
      </c>
      <c r="I113" t="s">
        <v>24</v>
      </c>
      <c r="J113" t="s">
        <v>23</v>
      </c>
      <c r="K113">
        <v>593</v>
      </c>
      <c r="L113">
        <v>23.754079900000001</v>
      </c>
      <c r="M113">
        <v>157.00790181135474</v>
      </c>
      <c r="N113">
        <v>-1.0868773470335453</v>
      </c>
      <c r="O113" s="1" t="str">
        <f>HYPERLINK(".\sm_car_210927_2323\sm_car_210927_2323_112_Ca140TrN_MaLSS_ode23t_1.png","figure")</f>
        <v>figure</v>
      </c>
      <c r="P113" t="s">
        <v>15</v>
      </c>
    </row>
    <row r="114" spans="1:16" x14ac:dyDescent="0.25">
      <c r="A114">
        <v>113</v>
      </c>
      <c r="B114">
        <v>142</v>
      </c>
      <c r="C114" t="s">
        <v>45</v>
      </c>
      <c r="D114" t="s">
        <v>17</v>
      </c>
      <c r="E114" t="s">
        <v>51</v>
      </c>
      <c r="F114" t="s">
        <v>28</v>
      </c>
      <c r="G114" t="s">
        <v>26</v>
      </c>
      <c r="H114" t="s">
        <v>21</v>
      </c>
      <c r="I114" t="s">
        <v>22</v>
      </c>
      <c r="J114" t="s">
        <v>23</v>
      </c>
      <c r="K114">
        <v>934</v>
      </c>
      <c r="L114">
        <v>23.734441499999999</v>
      </c>
      <c r="M114">
        <v>412.1046705327991</v>
      </c>
      <c r="N114">
        <v>0.38362253302232818</v>
      </c>
      <c r="O114" s="1" t="str">
        <f>HYPERLINK(".\sm_car_210927_2323\sm_car_210927_2323_113_Ca142TrN_MaWOT_ode23t_1.png","figure")</f>
        <v>figure</v>
      </c>
      <c r="P114" t="s">
        <v>15</v>
      </c>
    </row>
    <row r="115" spans="1:16" x14ac:dyDescent="0.25">
      <c r="A115">
        <v>114</v>
      </c>
      <c r="B115">
        <v>142</v>
      </c>
      <c r="C115" t="s">
        <v>45</v>
      </c>
      <c r="D115" t="s">
        <v>17</v>
      </c>
      <c r="E115" t="s">
        <v>51</v>
      </c>
      <c r="F115" t="s">
        <v>28</v>
      </c>
      <c r="G115" t="s">
        <v>26</v>
      </c>
      <c r="H115" t="s">
        <v>21</v>
      </c>
      <c r="I115" t="s">
        <v>24</v>
      </c>
      <c r="J115" t="s">
        <v>23</v>
      </c>
      <c r="K115">
        <v>1068</v>
      </c>
      <c r="L115">
        <v>26.618202199999999</v>
      </c>
      <c r="M115">
        <v>157.12086583338515</v>
      </c>
      <c r="N115">
        <v>-1.0706480268696386</v>
      </c>
      <c r="O115" s="1" t="str">
        <f>HYPERLINK(".\sm_car_210927_2323\sm_car_210927_2323_114_Ca142TrN_MaLSS_ode23t_1.png","figure")</f>
        <v>figure</v>
      </c>
      <c r="P115" t="s">
        <v>15</v>
      </c>
    </row>
    <row r="116" spans="1:16" x14ac:dyDescent="0.25">
      <c r="A116">
        <v>115</v>
      </c>
      <c r="B116">
        <v>145</v>
      </c>
      <c r="C116" t="s">
        <v>46</v>
      </c>
      <c r="D116" t="s">
        <v>17</v>
      </c>
      <c r="E116" t="s">
        <v>52</v>
      </c>
      <c r="F116" t="s">
        <v>19</v>
      </c>
      <c r="G116" t="s">
        <v>26</v>
      </c>
      <c r="H116" t="s">
        <v>21</v>
      </c>
      <c r="I116" t="s">
        <v>22</v>
      </c>
      <c r="J116" t="s">
        <v>23</v>
      </c>
      <c r="K116">
        <v>533</v>
      </c>
      <c r="L116">
        <v>21.463184500000001</v>
      </c>
      <c r="M116">
        <v>88.908986311180612</v>
      </c>
      <c r="N116">
        <v>-1.5399095085042946</v>
      </c>
      <c r="O116" s="1" t="str">
        <f>HYPERLINK(".\sm_car_210927_2323\sm_car_210927_2323_115_Ca145TrN_MaWOT_ode23t_1.png","figure")</f>
        <v>figure</v>
      </c>
      <c r="P116" t="s">
        <v>15</v>
      </c>
    </row>
    <row r="117" spans="1:16" x14ac:dyDescent="0.25">
      <c r="A117">
        <v>116</v>
      </c>
      <c r="B117">
        <v>145</v>
      </c>
      <c r="C117" t="s">
        <v>46</v>
      </c>
      <c r="D117" t="s">
        <v>17</v>
      </c>
      <c r="E117" t="s">
        <v>52</v>
      </c>
      <c r="F117" t="s">
        <v>19</v>
      </c>
      <c r="G117" t="s">
        <v>26</v>
      </c>
      <c r="H117" t="s">
        <v>21</v>
      </c>
      <c r="I117" t="s">
        <v>24</v>
      </c>
      <c r="J117" t="s">
        <v>23</v>
      </c>
      <c r="K117">
        <v>597</v>
      </c>
      <c r="L117">
        <v>25.060344000000001</v>
      </c>
      <c r="M117">
        <v>19.936223152437872</v>
      </c>
      <c r="N117">
        <v>-0.11700341348879803</v>
      </c>
      <c r="O117" s="1" t="str">
        <f>HYPERLINK(".\sm_car_210927_2323\sm_car_210927_2323_116_Ca145TrN_MaLSS_ode23t_1.png","figure")</f>
        <v>figure</v>
      </c>
      <c r="P117" t="s">
        <v>15</v>
      </c>
    </row>
    <row r="118" spans="1:16" x14ac:dyDescent="0.25">
      <c r="A118">
        <v>117</v>
      </c>
      <c r="B118">
        <v>146</v>
      </c>
      <c r="C118" t="s">
        <v>46</v>
      </c>
      <c r="D118" t="s">
        <v>17</v>
      </c>
      <c r="E118" t="s">
        <v>51</v>
      </c>
      <c r="F118" t="s">
        <v>19</v>
      </c>
      <c r="G118" t="s">
        <v>26</v>
      </c>
      <c r="H118" t="s">
        <v>21</v>
      </c>
      <c r="I118" t="s">
        <v>22</v>
      </c>
      <c r="J118" t="s">
        <v>23</v>
      </c>
      <c r="K118">
        <v>341</v>
      </c>
      <c r="L118">
        <v>16.782634099999999</v>
      </c>
      <c r="M118">
        <v>104.85356650765492</v>
      </c>
      <c r="N118">
        <v>-2.096905600928916</v>
      </c>
      <c r="O118" s="1" t="str">
        <f>HYPERLINK(".\sm_car_210927_2323\sm_car_210927_2323_117_Ca146TrN_MaWOT_ode23t_1.png","figure")</f>
        <v>figure</v>
      </c>
      <c r="P118" t="s">
        <v>15</v>
      </c>
    </row>
    <row r="119" spans="1:16" x14ac:dyDescent="0.25">
      <c r="A119">
        <v>118</v>
      </c>
      <c r="B119">
        <v>146</v>
      </c>
      <c r="C119" t="s">
        <v>46</v>
      </c>
      <c r="D119" t="s">
        <v>17</v>
      </c>
      <c r="E119" t="s">
        <v>51</v>
      </c>
      <c r="F119" t="s">
        <v>19</v>
      </c>
      <c r="G119" t="s">
        <v>26</v>
      </c>
      <c r="H119" t="s">
        <v>21</v>
      </c>
      <c r="I119" t="s">
        <v>24</v>
      </c>
      <c r="J119" t="s">
        <v>23</v>
      </c>
      <c r="K119">
        <v>445</v>
      </c>
      <c r="L119">
        <v>18.503102800000001</v>
      </c>
      <c r="M119">
        <v>29.280728300311686</v>
      </c>
      <c r="N119">
        <v>-0.28794084147505361</v>
      </c>
      <c r="O119" s="1" t="str">
        <f>HYPERLINK(".\sm_car_210927_2323\sm_car_210927_2323_118_Ca146TrN_MaLSS_ode23t_1.png","figure")</f>
        <v>figure</v>
      </c>
      <c r="P119" t="s">
        <v>15</v>
      </c>
    </row>
    <row r="120" spans="1:16" x14ac:dyDescent="0.25">
      <c r="A120">
        <v>119</v>
      </c>
      <c r="B120">
        <v>146</v>
      </c>
      <c r="C120" t="s">
        <v>46</v>
      </c>
      <c r="D120" t="s">
        <v>17</v>
      </c>
      <c r="E120" t="s">
        <v>51</v>
      </c>
      <c r="F120" t="s">
        <v>19</v>
      </c>
      <c r="G120" t="s">
        <v>26</v>
      </c>
      <c r="H120" t="s">
        <v>21</v>
      </c>
      <c r="I120" t="s">
        <v>22</v>
      </c>
      <c r="J120" t="s">
        <v>23</v>
      </c>
      <c r="K120">
        <v>341</v>
      </c>
      <c r="L120">
        <v>16.682371199999999</v>
      </c>
      <c r="M120">
        <v>104.85356650765492</v>
      </c>
      <c r="N120">
        <v>-2.096905600928916</v>
      </c>
      <c r="O120" s="1" t="str">
        <f>HYPERLINK(".\sm_car_210927_2323\sm_car_210927_2323_119_Ca146TrN_MaWOT_ode23t_1.png","figure")</f>
        <v>figure</v>
      </c>
      <c r="P120" t="s">
        <v>15</v>
      </c>
    </row>
    <row r="121" spans="1:16" x14ac:dyDescent="0.25">
      <c r="A121">
        <v>120</v>
      </c>
      <c r="B121">
        <v>146</v>
      </c>
      <c r="C121" t="s">
        <v>46</v>
      </c>
      <c r="D121" t="s">
        <v>17</v>
      </c>
      <c r="E121" t="s">
        <v>51</v>
      </c>
      <c r="F121" t="s">
        <v>19</v>
      </c>
      <c r="G121" t="s">
        <v>26</v>
      </c>
      <c r="H121" t="s">
        <v>21</v>
      </c>
      <c r="I121" t="s">
        <v>24</v>
      </c>
      <c r="J121" t="s">
        <v>23</v>
      </c>
      <c r="K121">
        <v>445</v>
      </c>
      <c r="L121">
        <v>18.2630543</v>
      </c>
      <c r="M121">
        <v>29.280728300311686</v>
      </c>
      <c r="N121">
        <v>-0.28794084147505361</v>
      </c>
      <c r="O121" s="1" t="str">
        <f>HYPERLINK(".\sm_car_210927_2323\sm_car_210927_2323_120_Ca146TrN_MaLSS_ode23t_1.png","figure")</f>
        <v>figure</v>
      </c>
      <c r="P121" t="s">
        <v>15</v>
      </c>
    </row>
    <row r="122" spans="1:16" x14ac:dyDescent="0.25">
      <c r="A122">
        <v>121</v>
      </c>
      <c r="B122">
        <v>161</v>
      </c>
      <c r="C122" t="s">
        <v>45</v>
      </c>
      <c r="D122" t="s">
        <v>53</v>
      </c>
      <c r="E122" t="s">
        <v>51</v>
      </c>
      <c r="F122" t="s">
        <v>19</v>
      </c>
      <c r="G122" t="s">
        <v>26</v>
      </c>
      <c r="H122" t="s">
        <v>21</v>
      </c>
      <c r="I122" t="s">
        <v>22</v>
      </c>
      <c r="J122" t="s">
        <v>23</v>
      </c>
      <c r="K122">
        <v>490</v>
      </c>
      <c r="L122">
        <v>28.744441900000002</v>
      </c>
      <c r="M122">
        <v>182.75404067665696</v>
      </c>
      <c r="N122">
        <v>5.9549985241328651E-3</v>
      </c>
      <c r="O122" s="1" t="str">
        <f>HYPERLINK(".\sm_car_210927_2323\sm_car_210927_2323_121_Ca161TrN_MaWOT_ode23t_1.png","figure")</f>
        <v>figure</v>
      </c>
      <c r="P122" t="s">
        <v>15</v>
      </c>
    </row>
    <row r="123" spans="1:16" x14ac:dyDescent="0.25">
      <c r="A123">
        <v>122</v>
      </c>
      <c r="B123">
        <v>161</v>
      </c>
      <c r="C123" t="s">
        <v>45</v>
      </c>
      <c r="D123" t="s">
        <v>53</v>
      </c>
      <c r="E123" t="s">
        <v>51</v>
      </c>
      <c r="F123" t="s">
        <v>19</v>
      </c>
      <c r="G123" t="s">
        <v>26</v>
      </c>
      <c r="H123" t="s">
        <v>21</v>
      </c>
      <c r="I123" t="s">
        <v>24</v>
      </c>
      <c r="J123" t="s">
        <v>23</v>
      </c>
      <c r="K123">
        <v>638</v>
      </c>
      <c r="L123">
        <v>38.002542800000001</v>
      </c>
      <c r="M123">
        <v>156.80634237871126</v>
      </c>
      <c r="N123">
        <v>-1.0749685152452602</v>
      </c>
      <c r="O123" s="1" t="str">
        <f>HYPERLINK(".\sm_car_210927_2323\sm_car_210927_2323_122_Ca161TrN_MaLSS_ode23t_1.png","figure")</f>
        <v>figure</v>
      </c>
      <c r="P123" t="s">
        <v>15</v>
      </c>
    </row>
    <row r="124" spans="1:16" x14ac:dyDescent="0.25">
      <c r="A124">
        <v>123</v>
      </c>
      <c r="B124">
        <v>163</v>
      </c>
      <c r="C124" t="s">
        <v>45</v>
      </c>
      <c r="D124" t="s">
        <v>54</v>
      </c>
      <c r="E124" t="s">
        <v>51</v>
      </c>
      <c r="F124" t="s">
        <v>19</v>
      </c>
      <c r="G124" t="s">
        <v>26</v>
      </c>
      <c r="H124" t="s">
        <v>21</v>
      </c>
      <c r="I124" t="s">
        <v>22</v>
      </c>
      <c r="J124" t="s">
        <v>23</v>
      </c>
      <c r="K124">
        <v>526</v>
      </c>
      <c r="L124">
        <v>34.070100199999999</v>
      </c>
      <c r="M124">
        <v>281.98106230028486</v>
      </c>
      <c r="N124">
        <v>0.1287924674914451</v>
      </c>
      <c r="O124" s="1" t="str">
        <f>HYPERLINK(".\sm_car_210927_2323\sm_car_210927_2323_123_Ca163TrN_MaWOT_ode23t_1.png","figure")</f>
        <v>figure</v>
      </c>
      <c r="P124" t="s">
        <v>15</v>
      </c>
    </row>
    <row r="125" spans="1:16" x14ac:dyDescent="0.25">
      <c r="A125">
        <v>124</v>
      </c>
      <c r="B125">
        <v>163</v>
      </c>
      <c r="C125" t="s">
        <v>45</v>
      </c>
      <c r="D125" t="s">
        <v>54</v>
      </c>
      <c r="E125" t="s">
        <v>51</v>
      </c>
      <c r="F125" t="s">
        <v>19</v>
      </c>
      <c r="G125" t="s">
        <v>26</v>
      </c>
      <c r="H125" t="s">
        <v>21</v>
      </c>
      <c r="I125" t="s">
        <v>24</v>
      </c>
      <c r="J125" t="s">
        <v>23</v>
      </c>
      <c r="K125">
        <v>722</v>
      </c>
      <c r="L125">
        <v>45.063865200000002</v>
      </c>
      <c r="M125">
        <v>257.8547118078634</v>
      </c>
      <c r="N125">
        <v>6.6121017613652349</v>
      </c>
      <c r="O125" s="1" t="str">
        <f>HYPERLINK(".\sm_car_210927_2323\sm_car_210927_2323_124_Ca163TrN_MaLSS_ode23t_1.png","figure")</f>
        <v>figure</v>
      </c>
      <c r="P125" t="s">
        <v>15</v>
      </c>
    </row>
    <row r="126" spans="1:16" x14ac:dyDescent="0.25">
      <c r="A126">
        <v>125</v>
      </c>
      <c r="B126">
        <v>184</v>
      </c>
      <c r="C126" t="s">
        <v>49</v>
      </c>
      <c r="D126" t="s">
        <v>50</v>
      </c>
      <c r="E126" t="s">
        <v>51</v>
      </c>
      <c r="F126" t="s">
        <v>19</v>
      </c>
      <c r="G126" t="s">
        <v>20</v>
      </c>
      <c r="H126" t="s">
        <v>21</v>
      </c>
      <c r="I126" t="s">
        <v>22</v>
      </c>
      <c r="J126" t="s">
        <v>23</v>
      </c>
      <c r="K126">
        <v>276</v>
      </c>
      <c r="L126">
        <v>14.3667851</v>
      </c>
      <c r="M126">
        <v>332.68684799920936</v>
      </c>
      <c r="N126">
        <v>1.2293872960547582E-4</v>
      </c>
      <c r="O126" s="1" t="str">
        <f>HYPERLINK(".\sm_car_210927_2323\sm_car_210927_2323_125_Ca184TrN_MaWOT_ode23t_1.png","figure")</f>
        <v>figure</v>
      </c>
      <c r="P126" t="s">
        <v>15</v>
      </c>
    </row>
    <row r="127" spans="1:16" x14ac:dyDescent="0.25">
      <c r="A127">
        <v>126</v>
      </c>
      <c r="B127">
        <v>184</v>
      </c>
      <c r="C127" t="s">
        <v>49</v>
      </c>
      <c r="D127" t="s">
        <v>50</v>
      </c>
      <c r="E127" t="s">
        <v>51</v>
      </c>
      <c r="F127" t="s">
        <v>19</v>
      </c>
      <c r="G127" t="s">
        <v>20</v>
      </c>
      <c r="H127" t="s">
        <v>21</v>
      </c>
      <c r="I127" t="s">
        <v>24</v>
      </c>
      <c r="J127" t="s">
        <v>23</v>
      </c>
      <c r="K127">
        <v>452</v>
      </c>
      <c r="L127">
        <v>16.8285293</v>
      </c>
      <c r="M127">
        <v>114.13294463413835</v>
      </c>
      <c r="N127">
        <v>-6.087642614927511E-2</v>
      </c>
      <c r="O127" s="1" t="str">
        <f>HYPERLINK(".\sm_car_210927_2323\sm_car_210927_2323_126_Ca184TrN_MaLSS_ode23t_1.png","figure")</f>
        <v>figure</v>
      </c>
      <c r="P127" t="s">
        <v>15</v>
      </c>
    </row>
    <row r="128" spans="1:16" x14ac:dyDescent="0.25">
      <c r="A128">
        <v>127</v>
      </c>
      <c r="B128">
        <v>12</v>
      </c>
      <c r="C128" t="s">
        <v>16</v>
      </c>
      <c r="D128" t="s">
        <v>17</v>
      </c>
      <c r="E128" t="s">
        <v>51</v>
      </c>
      <c r="F128" t="s">
        <v>28</v>
      </c>
      <c r="G128" t="s">
        <v>20</v>
      </c>
      <c r="H128" t="s">
        <v>21</v>
      </c>
      <c r="I128" t="s">
        <v>55</v>
      </c>
      <c r="J128" t="s">
        <v>23</v>
      </c>
      <c r="K128">
        <v>834</v>
      </c>
      <c r="L128">
        <v>19.3400234</v>
      </c>
      <c r="M128">
        <v>381.83550394713171</v>
      </c>
      <c r="N128">
        <v>2.0930748265035604E-4</v>
      </c>
      <c r="O128" s="1" t="str">
        <f>HYPERLINK(".\sm_car_210927_2323\sm_car_210927_2323_127_Ca012TrN_MaDLC_ode23t_1.png","figure")</f>
        <v>figure</v>
      </c>
      <c r="P128" t="s">
        <v>15</v>
      </c>
    </row>
    <row r="129" spans="1:16" x14ac:dyDescent="0.25">
      <c r="A129">
        <v>128</v>
      </c>
      <c r="B129">
        <v>12</v>
      </c>
      <c r="C129" t="s">
        <v>16</v>
      </c>
      <c r="D129" t="s">
        <v>17</v>
      </c>
      <c r="E129" t="s">
        <v>51</v>
      </c>
      <c r="F129" t="s">
        <v>28</v>
      </c>
      <c r="G129" t="s">
        <v>20</v>
      </c>
      <c r="H129" t="s">
        <v>21</v>
      </c>
      <c r="I129" t="s">
        <v>56</v>
      </c>
      <c r="J129" t="s">
        <v>23</v>
      </c>
      <c r="K129">
        <v>996</v>
      </c>
      <c r="L129">
        <v>20.9340306</v>
      </c>
      <c r="M129">
        <v>75.583926554688432</v>
      </c>
      <c r="N129">
        <v>0.86785201161397052</v>
      </c>
      <c r="O129" s="1" t="str">
        <f>HYPERLINK(".\sm_car_210927_2323\sm_car_210927_2323_128_Ca012TrN_MaIPA_ode23t_1.png","figure")</f>
        <v>figure</v>
      </c>
      <c r="P129" t="s">
        <v>15</v>
      </c>
    </row>
    <row r="130" spans="1:16" x14ac:dyDescent="0.25">
      <c r="A130">
        <v>129</v>
      </c>
      <c r="B130">
        <v>142</v>
      </c>
      <c r="C130" t="s">
        <v>45</v>
      </c>
      <c r="D130" t="s">
        <v>17</v>
      </c>
      <c r="E130" t="s">
        <v>51</v>
      </c>
      <c r="F130" t="s">
        <v>28</v>
      </c>
      <c r="G130" t="s">
        <v>26</v>
      </c>
      <c r="H130" t="s">
        <v>21</v>
      </c>
      <c r="I130" t="s">
        <v>55</v>
      </c>
      <c r="J130" t="s">
        <v>23</v>
      </c>
      <c r="K130">
        <v>872</v>
      </c>
      <c r="L130">
        <v>25.416307199999999</v>
      </c>
      <c r="M130">
        <v>383.20159039239343</v>
      </c>
      <c r="N130">
        <v>-3.1171121549311565E-4</v>
      </c>
      <c r="O130" s="1" t="str">
        <f>HYPERLINK(".\sm_car_210927_2323\sm_car_210927_2323_129_Ca142TrN_MaDLC_ode23t_1.png","figure")</f>
        <v>figure</v>
      </c>
      <c r="P130" t="s">
        <v>15</v>
      </c>
    </row>
    <row r="131" spans="1:16" x14ac:dyDescent="0.25">
      <c r="A131">
        <v>130</v>
      </c>
      <c r="B131">
        <v>142</v>
      </c>
      <c r="C131" t="s">
        <v>45</v>
      </c>
      <c r="D131" t="s">
        <v>17</v>
      </c>
      <c r="E131" t="s">
        <v>51</v>
      </c>
      <c r="F131" t="s">
        <v>28</v>
      </c>
      <c r="G131" t="s">
        <v>26</v>
      </c>
      <c r="H131" t="s">
        <v>21</v>
      </c>
      <c r="I131" t="s">
        <v>56</v>
      </c>
      <c r="J131" t="s">
        <v>23</v>
      </c>
      <c r="K131">
        <v>1716</v>
      </c>
      <c r="L131">
        <v>89.220150700000005</v>
      </c>
      <c r="M131">
        <v>85.154998118506683</v>
      </c>
      <c r="N131">
        <v>0.55635962887145607</v>
      </c>
      <c r="O131" s="1" t="str">
        <f>HYPERLINK(".\sm_car_210927_2323\sm_car_210927_2323_130_Ca142TrN_MaIPA_ode23t_1.png","figure")</f>
        <v>figure</v>
      </c>
      <c r="P131" t="s">
        <v>15</v>
      </c>
    </row>
    <row r="132" spans="1:16" x14ac:dyDescent="0.25">
      <c r="A132">
        <v>131</v>
      </c>
      <c r="B132">
        <v>145</v>
      </c>
      <c r="C132" t="s">
        <v>46</v>
      </c>
      <c r="D132" t="s">
        <v>17</v>
      </c>
      <c r="E132" t="s">
        <v>52</v>
      </c>
      <c r="F132" t="s">
        <v>19</v>
      </c>
      <c r="G132" t="s">
        <v>26</v>
      </c>
      <c r="H132" t="s">
        <v>21</v>
      </c>
      <c r="I132" t="s">
        <v>55</v>
      </c>
      <c r="J132" t="s">
        <v>23</v>
      </c>
      <c r="K132">
        <v>1152</v>
      </c>
      <c r="L132">
        <v>40.857346700000001</v>
      </c>
      <c r="M132">
        <v>369.60497382467901</v>
      </c>
      <c r="N132">
        <v>-1.3273422660488254E-2</v>
      </c>
      <c r="O132" s="1" t="str">
        <f>HYPERLINK(".\sm_car_210927_2323\sm_car_210927_2323_131_Ca145TrN_MaDLC_ode23t_1.png","figure")</f>
        <v>figure</v>
      </c>
      <c r="P132" t="s">
        <v>15</v>
      </c>
    </row>
    <row r="133" spans="1:16" x14ac:dyDescent="0.25">
      <c r="A133">
        <v>132</v>
      </c>
      <c r="B133">
        <v>145</v>
      </c>
      <c r="C133" t="s">
        <v>46</v>
      </c>
      <c r="D133" t="s">
        <v>17</v>
      </c>
      <c r="E133" t="s">
        <v>52</v>
      </c>
      <c r="F133" t="s">
        <v>19</v>
      </c>
      <c r="G133" t="s">
        <v>26</v>
      </c>
      <c r="H133" t="s">
        <v>21</v>
      </c>
      <c r="I133" t="s">
        <v>56</v>
      </c>
      <c r="J133" t="s">
        <v>23</v>
      </c>
      <c r="K133">
        <v>448</v>
      </c>
      <c r="L133">
        <v>21.5767548</v>
      </c>
      <c r="M133">
        <v>22.04295724072195</v>
      </c>
      <c r="N133">
        <v>-8.5320379926038109E-2</v>
      </c>
      <c r="O133" s="1" t="str">
        <f>HYPERLINK(".\sm_car_210927_2323\sm_car_210927_2323_132_Ca145TrN_MaIPA_ode23t_1.png","figure")</f>
        <v>figure</v>
      </c>
      <c r="P133" t="s">
        <v>15</v>
      </c>
    </row>
    <row r="134" spans="1:16" x14ac:dyDescent="0.25">
      <c r="A134">
        <v>133</v>
      </c>
      <c r="B134">
        <v>184</v>
      </c>
      <c r="C134" t="s">
        <v>49</v>
      </c>
      <c r="D134" t="s">
        <v>50</v>
      </c>
      <c r="E134" t="s">
        <v>51</v>
      </c>
      <c r="F134" t="s">
        <v>19</v>
      </c>
      <c r="G134" t="s">
        <v>20</v>
      </c>
      <c r="H134" t="s">
        <v>21</v>
      </c>
      <c r="I134" t="s">
        <v>55</v>
      </c>
      <c r="J134" t="s">
        <v>23</v>
      </c>
      <c r="K134">
        <v>475</v>
      </c>
      <c r="L134">
        <v>22.0585339</v>
      </c>
      <c r="M134">
        <v>371.34861297026845</v>
      </c>
      <c r="N134">
        <v>-1.1942995334912609E-6</v>
      </c>
      <c r="O134" s="1" t="str">
        <f>HYPERLINK(".\sm_car_210927_2323\sm_car_210927_2323_133_Ca184TrN_MaDLC_ode23t_1.png","figure")</f>
        <v>figure</v>
      </c>
      <c r="P134" t="s">
        <v>15</v>
      </c>
    </row>
    <row r="135" spans="1:16" x14ac:dyDescent="0.25">
      <c r="A135">
        <v>134</v>
      </c>
      <c r="B135">
        <v>184</v>
      </c>
      <c r="C135" t="s">
        <v>49</v>
      </c>
      <c r="D135" t="s">
        <v>50</v>
      </c>
      <c r="E135" t="s">
        <v>51</v>
      </c>
      <c r="F135" t="s">
        <v>19</v>
      </c>
      <c r="G135" t="s">
        <v>20</v>
      </c>
      <c r="H135" t="s">
        <v>21</v>
      </c>
      <c r="I135" t="s">
        <v>56</v>
      </c>
      <c r="J135" t="s">
        <v>23</v>
      </c>
      <c r="K135">
        <v>341</v>
      </c>
      <c r="L135">
        <v>20.545638799999999</v>
      </c>
      <c r="M135">
        <v>61.787174754137354</v>
      </c>
      <c r="N135">
        <v>0.48857395035782014</v>
      </c>
      <c r="O135" s="1" t="str">
        <f>HYPERLINK(".\sm_car_210927_2323\sm_car_210927_2323_134_Ca184TrN_MaIPA_ode23t_1.png","figure")</f>
        <v>figure</v>
      </c>
      <c r="P135" t="s">
        <v>15</v>
      </c>
    </row>
    <row r="136" spans="1:16" x14ac:dyDescent="0.25">
      <c r="A136">
        <v>135</v>
      </c>
      <c r="B136">
        <v>12</v>
      </c>
      <c r="C136" t="s">
        <v>16</v>
      </c>
      <c r="D136" t="s">
        <v>17</v>
      </c>
      <c r="E136" t="s">
        <v>51</v>
      </c>
      <c r="F136" t="s">
        <v>28</v>
      </c>
      <c r="G136" t="s">
        <v>20</v>
      </c>
      <c r="H136" t="s">
        <v>21</v>
      </c>
      <c r="I136" t="s">
        <v>57</v>
      </c>
      <c r="J136" t="s">
        <v>23</v>
      </c>
      <c r="K136">
        <v>3301</v>
      </c>
      <c r="L136">
        <v>63.630644099999998</v>
      </c>
      <c r="M136">
        <v>-13.853968015494713</v>
      </c>
      <c r="N136">
        <v>-0.26850725289607097</v>
      </c>
      <c r="O136" s="1" t="str">
        <f>HYPERLINK(".\sm_car_210927_2323\sm_car_210927_2323_135_Ca012TrN_MaMPK_ode23t_1.png","figure")</f>
        <v>figure</v>
      </c>
      <c r="P136" t="s">
        <v>15</v>
      </c>
    </row>
    <row r="137" spans="1:16" x14ac:dyDescent="0.25">
      <c r="A137">
        <v>136</v>
      </c>
      <c r="B137">
        <v>12</v>
      </c>
      <c r="C137" t="s">
        <v>16</v>
      </c>
      <c r="D137" t="s">
        <v>17</v>
      </c>
      <c r="E137" t="s">
        <v>51</v>
      </c>
      <c r="F137" t="s">
        <v>28</v>
      </c>
      <c r="G137" t="s">
        <v>20</v>
      </c>
      <c r="H137" t="s">
        <v>21</v>
      </c>
      <c r="I137" t="s">
        <v>58</v>
      </c>
      <c r="J137" t="s">
        <v>23</v>
      </c>
      <c r="K137">
        <v>3423</v>
      </c>
      <c r="L137">
        <v>64.764656900000006</v>
      </c>
      <c r="M137">
        <v>5.019152743711933</v>
      </c>
      <c r="N137">
        <v>-0.43291214315499826</v>
      </c>
      <c r="O137" s="1" t="str">
        <f>HYPERLINK(".\sm_car_210927_2323\sm_car_210927_2323_136_Ca012TrN_MaMPC_ode23t_1.png","figure")</f>
        <v>figure</v>
      </c>
      <c r="P137" t="s">
        <v>15</v>
      </c>
    </row>
    <row r="138" spans="1:16" x14ac:dyDescent="0.25">
      <c r="A138">
        <v>137</v>
      </c>
      <c r="B138">
        <v>142</v>
      </c>
      <c r="C138" t="s">
        <v>45</v>
      </c>
      <c r="D138" t="s">
        <v>17</v>
      </c>
      <c r="E138" t="s">
        <v>51</v>
      </c>
      <c r="F138" t="s">
        <v>28</v>
      </c>
      <c r="G138" t="s">
        <v>26</v>
      </c>
      <c r="H138" t="s">
        <v>21</v>
      </c>
      <c r="I138" t="s">
        <v>57</v>
      </c>
      <c r="J138" t="s">
        <v>23</v>
      </c>
      <c r="K138">
        <v>3170</v>
      </c>
      <c r="L138">
        <v>106.3008988</v>
      </c>
      <c r="M138">
        <v>-13.838859200757026</v>
      </c>
      <c r="N138">
        <v>-0.29849720064079888</v>
      </c>
      <c r="O138" s="1" t="str">
        <f>HYPERLINK(".\sm_car_210927_2323\sm_car_210927_2323_137_Ca142TrN_MaMPK_ode23t_1.png","figure")</f>
        <v>figure</v>
      </c>
      <c r="P138" t="s">
        <v>15</v>
      </c>
    </row>
    <row r="139" spans="1:16" x14ac:dyDescent="0.25">
      <c r="A139">
        <v>138</v>
      </c>
      <c r="B139">
        <v>142</v>
      </c>
      <c r="C139" t="s">
        <v>45</v>
      </c>
      <c r="D139" t="s">
        <v>17</v>
      </c>
      <c r="E139" t="s">
        <v>51</v>
      </c>
      <c r="F139" t="s">
        <v>28</v>
      </c>
      <c r="G139" t="s">
        <v>26</v>
      </c>
      <c r="H139" t="s">
        <v>21</v>
      </c>
      <c r="I139" t="s">
        <v>58</v>
      </c>
      <c r="J139" t="s">
        <v>23</v>
      </c>
      <c r="K139">
        <v>3244</v>
      </c>
      <c r="L139">
        <v>119.1468477</v>
      </c>
      <c r="M139">
        <v>4.9903243620317266</v>
      </c>
      <c r="N139">
        <v>-0.42094787781582199</v>
      </c>
      <c r="O139" s="1" t="str">
        <f>HYPERLINK(".\sm_car_210927_2323\sm_car_210927_2323_138_Ca142TrN_MaMPC_ode23t_1.png","figure")</f>
        <v>figure</v>
      </c>
      <c r="P139" t="s">
        <v>15</v>
      </c>
    </row>
    <row r="140" spans="1:16" x14ac:dyDescent="0.25">
      <c r="A140">
        <v>139</v>
      </c>
      <c r="B140">
        <v>116</v>
      </c>
      <c r="C140" t="s">
        <v>16</v>
      </c>
      <c r="D140" t="s">
        <v>35</v>
      </c>
      <c r="E140" t="s">
        <v>18</v>
      </c>
      <c r="F140" t="s">
        <v>28</v>
      </c>
      <c r="G140" t="s">
        <v>20</v>
      </c>
      <c r="H140" t="s">
        <v>21</v>
      </c>
      <c r="I140" t="s">
        <v>57</v>
      </c>
      <c r="J140" t="s">
        <v>23</v>
      </c>
      <c r="K140">
        <v>3639</v>
      </c>
      <c r="L140">
        <v>30.455053299999999</v>
      </c>
      <c r="M140">
        <v>-13.853384540294099</v>
      </c>
      <c r="N140">
        <v>-0.24106897159386739</v>
      </c>
      <c r="O140" s="1" t="str">
        <f>HYPERLINK(".\sm_car_210927_2323\sm_car_210927_2323_139_Ca116TrN_MaMPK_ode23t_1.png","figure")</f>
        <v>figure</v>
      </c>
      <c r="P140" t="s">
        <v>15</v>
      </c>
    </row>
    <row r="141" spans="1:16" x14ac:dyDescent="0.25">
      <c r="A141">
        <v>140</v>
      </c>
      <c r="B141">
        <v>116</v>
      </c>
      <c r="C141" t="s">
        <v>16</v>
      </c>
      <c r="D141" t="s">
        <v>35</v>
      </c>
      <c r="E141" t="s">
        <v>18</v>
      </c>
      <c r="F141" t="s">
        <v>28</v>
      </c>
      <c r="G141" t="s">
        <v>20</v>
      </c>
      <c r="H141" t="s">
        <v>21</v>
      </c>
      <c r="I141" t="s">
        <v>58</v>
      </c>
      <c r="J141" t="s">
        <v>23</v>
      </c>
      <c r="K141">
        <v>3613</v>
      </c>
      <c r="L141">
        <v>31.388484299999998</v>
      </c>
      <c r="M141">
        <v>5.0178917668280105</v>
      </c>
      <c r="N141">
        <v>-0.4527812787939135</v>
      </c>
      <c r="O141" s="1" t="str">
        <f>HYPERLINK(".\sm_car_210927_2323\sm_car_210927_2323_140_Ca116TrN_MaMPC_ode23t_1.png","figure")</f>
        <v>figure</v>
      </c>
      <c r="P141" t="s">
        <v>15</v>
      </c>
    </row>
    <row r="142" spans="1:16" x14ac:dyDescent="0.25">
      <c r="A142">
        <v>141</v>
      </c>
      <c r="B142">
        <v>143</v>
      </c>
      <c r="C142" t="s">
        <v>46</v>
      </c>
      <c r="D142" t="s">
        <v>17</v>
      </c>
      <c r="E142" t="s">
        <v>47</v>
      </c>
      <c r="F142" t="s">
        <v>19</v>
      </c>
      <c r="G142" t="s">
        <v>26</v>
      </c>
      <c r="H142" t="s">
        <v>21</v>
      </c>
      <c r="I142" t="s">
        <v>57</v>
      </c>
      <c r="J142" t="s">
        <v>23</v>
      </c>
      <c r="K142">
        <v>4134</v>
      </c>
      <c r="L142">
        <v>146.33035839999999</v>
      </c>
      <c r="M142">
        <v>-13.852088878718359</v>
      </c>
      <c r="N142">
        <v>-0.28116739389958156</v>
      </c>
      <c r="O142" s="1" t="str">
        <f>HYPERLINK(".\sm_car_210927_2323\sm_car_210927_2323_141_Ca143TrN_MaMPK_ode23t_1.png","figure")</f>
        <v>figure</v>
      </c>
      <c r="P142" t="s">
        <v>15</v>
      </c>
    </row>
    <row r="143" spans="1:16" x14ac:dyDescent="0.25">
      <c r="A143">
        <v>142</v>
      </c>
      <c r="B143">
        <v>143</v>
      </c>
      <c r="C143" t="s">
        <v>46</v>
      </c>
      <c r="D143" t="s">
        <v>17</v>
      </c>
      <c r="E143" t="s">
        <v>47</v>
      </c>
      <c r="F143" t="s">
        <v>19</v>
      </c>
      <c r="G143" t="s">
        <v>26</v>
      </c>
      <c r="H143" t="s">
        <v>21</v>
      </c>
      <c r="I143" t="s">
        <v>58</v>
      </c>
      <c r="J143" t="s">
        <v>23</v>
      </c>
      <c r="K143">
        <v>4304</v>
      </c>
      <c r="L143">
        <v>158.9456011</v>
      </c>
      <c r="M143">
        <v>5.0272591477389827</v>
      </c>
      <c r="N143">
        <v>-0.20826259972730216</v>
      </c>
      <c r="O143" s="1" t="str">
        <f>HYPERLINK(".\sm_car_210927_2323\sm_car_210927_2323_142_Ca143TrN_MaMPC_ode23t_1.png","figure")</f>
        <v>figure</v>
      </c>
      <c r="P143" t="s">
        <v>15</v>
      </c>
    </row>
    <row r="144" spans="1:16" x14ac:dyDescent="0.25">
      <c r="A144">
        <v>143</v>
      </c>
      <c r="B144">
        <v>166</v>
      </c>
      <c r="C144" t="s">
        <v>45</v>
      </c>
      <c r="D144" t="s">
        <v>59</v>
      </c>
      <c r="E144" t="s">
        <v>18</v>
      </c>
      <c r="F144" t="s">
        <v>19</v>
      </c>
      <c r="G144" t="s">
        <v>26</v>
      </c>
      <c r="H144" t="s">
        <v>21</v>
      </c>
      <c r="I144" t="s">
        <v>57</v>
      </c>
      <c r="J144" t="s">
        <v>23</v>
      </c>
      <c r="K144">
        <v>3367</v>
      </c>
      <c r="L144">
        <v>111.46264480000001</v>
      </c>
      <c r="M144">
        <v>-13.847202249928801</v>
      </c>
      <c r="N144">
        <v>-0.25704975979150735</v>
      </c>
      <c r="O144" s="1" t="str">
        <f>HYPERLINK(".\sm_car_210927_2323\sm_car_210927_2323_143_Ca166TrN_MaMPK_ode23t_1.png","figure")</f>
        <v>figure</v>
      </c>
      <c r="P144" t="s">
        <v>15</v>
      </c>
    </row>
    <row r="145" spans="1:16" x14ac:dyDescent="0.25">
      <c r="A145">
        <v>144</v>
      </c>
      <c r="B145">
        <v>166</v>
      </c>
      <c r="C145" t="s">
        <v>45</v>
      </c>
      <c r="D145" t="s">
        <v>59</v>
      </c>
      <c r="E145" t="s">
        <v>18</v>
      </c>
      <c r="F145" t="s">
        <v>19</v>
      </c>
      <c r="G145" t="s">
        <v>26</v>
      </c>
      <c r="H145" t="s">
        <v>21</v>
      </c>
      <c r="I145" t="s">
        <v>58</v>
      </c>
      <c r="J145" t="s">
        <v>23</v>
      </c>
      <c r="K145">
        <v>3663</v>
      </c>
      <c r="L145">
        <v>116.79207460000001</v>
      </c>
      <c r="M145">
        <v>5.0185741593114725</v>
      </c>
      <c r="N145">
        <v>-0.45416256024425933</v>
      </c>
      <c r="O145" s="1" t="str">
        <f>HYPERLINK(".\sm_car_210927_2323\sm_car_210927_2323_144_Ca166TrN_MaMPC_ode23t_1.png","figure")</f>
        <v>figure</v>
      </c>
      <c r="P145" t="s">
        <v>15</v>
      </c>
    </row>
    <row r="146" spans="1:16" x14ac:dyDescent="0.25">
      <c r="A146">
        <v>145</v>
      </c>
      <c r="B146">
        <v>169</v>
      </c>
      <c r="C146" t="s">
        <v>45</v>
      </c>
      <c r="D146" t="s">
        <v>60</v>
      </c>
      <c r="E146" t="s">
        <v>51</v>
      </c>
      <c r="F146" t="s">
        <v>19</v>
      </c>
      <c r="G146" t="s">
        <v>26</v>
      </c>
      <c r="H146" t="s">
        <v>21</v>
      </c>
      <c r="I146" t="s">
        <v>57</v>
      </c>
      <c r="J146" t="s">
        <v>23</v>
      </c>
      <c r="K146">
        <v>3290</v>
      </c>
      <c r="L146">
        <v>86.433310800000001</v>
      </c>
      <c r="M146">
        <v>-13.850603625300955</v>
      </c>
      <c r="N146">
        <v>-0.25709185603638446</v>
      </c>
      <c r="O146" s="1" t="str">
        <f>HYPERLINK(".\sm_car_210927_2323\sm_car_210927_2323_145_Ca169TrN_MaMPK_ode23t_1.png","figure")</f>
        <v>figure</v>
      </c>
      <c r="P146" t="s">
        <v>15</v>
      </c>
    </row>
    <row r="147" spans="1:16" x14ac:dyDescent="0.25">
      <c r="A147">
        <v>146</v>
      </c>
      <c r="B147">
        <v>169</v>
      </c>
      <c r="C147" t="s">
        <v>45</v>
      </c>
      <c r="D147" t="s">
        <v>60</v>
      </c>
      <c r="E147" t="s">
        <v>51</v>
      </c>
      <c r="F147" t="s">
        <v>19</v>
      </c>
      <c r="G147" t="s">
        <v>26</v>
      </c>
      <c r="H147" t="s">
        <v>21</v>
      </c>
      <c r="I147" t="s">
        <v>58</v>
      </c>
      <c r="J147" t="s">
        <v>23</v>
      </c>
      <c r="K147">
        <v>3489</v>
      </c>
      <c r="L147">
        <v>89.189431999999996</v>
      </c>
      <c r="M147">
        <v>5.0188362928785892</v>
      </c>
      <c r="N147">
        <v>-0.45310909153325507</v>
      </c>
      <c r="O147" s="1" t="str">
        <f>HYPERLINK(".\sm_car_210927_2323\sm_car_210927_2323_146_Ca169TrN_MaMPC_ode23t_1.png","figure")</f>
        <v>figure</v>
      </c>
      <c r="P147" t="s">
        <v>15</v>
      </c>
    </row>
    <row r="148" spans="1:16" x14ac:dyDescent="0.25">
      <c r="A148">
        <v>147</v>
      </c>
      <c r="B148">
        <v>184</v>
      </c>
      <c r="C148" t="s">
        <v>49</v>
      </c>
      <c r="D148" t="s">
        <v>50</v>
      </c>
      <c r="E148" t="s">
        <v>51</v>
      </c>
      <c r="F148" t="s">
        <v>19</v>
      </c>
      <c r="G148" t="s">
        <v>20</v>
      </c>
      <c r="H148" t="s">
        <v>21</v>
      </c>
      <c r="I148" t="s">
        <v>57</v>
      </c>
      <c r="J148" t="s">
        <v>23</v>
      </c>
      <c r="K148">
        <v>2274</v>
      </c>
      <c r="L148">
        <v>76.544348299999996</v>
      </c>
      <c r="M148">
        <v>-13.853932128499562</v>
      </c>
      <c r="N148">
        <v>-0.32183039482814696</v>
      </c>
      <c r="O148" s="1" t="str">
        <f>HYPERLINK(".\sm_car_210927_2323\sm_car_210927_2323_147_Ca184TrN_MaMPK_ode23t_1.png","figure")</f>
        <v>figure</v>
      </c>
      <c r="P148" t="s">
        <v>15</v>
      </c>
    </row>
    <row r="149" spans="1:16" x14ac:dyDescent="0.25">
      <c r="A149">
        <v>148</v>
      </c>
      <c r="B149">
        <v>184</v>
      </c>
      <c r="C149" t="s">
        <v>49</v>
      </c>
      <c r="D149" t="s">
        <v>50</v>
      </c>
      <c r="E149" t="s">
        <v>51</v>
      </c>
      <c r="F149" t="s">
        <v>19</v>
      </c>
      <c r="G149" t="s">
        <v>20</v>
      </c>
      <c r="H149" t="s">
        <v>21</v>
      </c>
      <c r="I149" t="s">
        <v>58</v>
      </c>
      <c r="J149" t="s">
        <v>23</v>
      </c>
      <c r="K149">
        <v>2349</v>
      </c>
      <c r="L149">
        <v>74.711658999999997</v>
      </c>
      <c r="M149">
        <v>5.0199869550454821</v>
      </c>
      <c r="N149">
        <v>-0.42565323784173559</v>
      </c>
      <c r="O149" s="1" t="str">
        <f>HYPERLINK(".\sm_car_210927_2323\sm_car_210927_2323_148_Ca184TrN_MaMPC_ode23t_1.png","figure")</f>
        <v>figure</v>
      </c>
      <c r="P149" t="s">
        <v>15</v>
      </c>
    </row>
    <row r="150" spans="1:16" x14ac:dyDescent="0.25">
      <c r="A150">
        <v>149</v>
      </c>
      <c r="B150">
        <v>151</v>
      </c>
      <c r="C150" t="s">
        <v>16</v>
      </c>
      <c r="D150" t="s">
        <v>17</v>
      </c>
      <c r="E150" t="s">
        <v>18</v>
      </c>
      <c r="F150" t="s">
        <v>19</v>
      </c>
      <c r="G150" t="s">
        <v>61</v>
      </c>
      <c r="H150" t="s">
        <v>21</v>
      </c>
      <c r="I150" t="s">
        <v>24</v>
      </c>
      <c r="J150" t="s">
        <v>23</v>
      </c>
      <c r="K150">
        <v>480</v>
      </c>
      <c r="L150">
        <v>15.7862817</v>
      </c>
      <c r="M150">
        <v>73.298703779449284</v>
      </c>
      <c r="N150">
        <v>-0.78495278702452664</v>
      </c>
      <c r="O150" s="1" t="str">
        <f>HYPERLINK(".\sm_car_210927_2323\sm_car_210927_2323_149_Ca151TrN_MaLSS_ode23t_1.png","figure")</f>
        <v>figure</v>
      </c>
      <c r="P150" t="s">
        <v>15</v>
      </c>
    </row>
    <row r="151" spans="1:16" x14ac:dyDescent="0.25">
      <c r="A151">
        <v>150</v>
      </c>
      <c r="B151">
        <v>152</v>
      </c>
      <c r="C151" t="s">
        <v>16</v>
      </c>
      <c r="D151" t="s">
        <v>17</v>
      </c>
      <c r="E151" t="s">
        <v>18</v>
      </c>
      <c r="F151" t="s">
        <v>19</v>
      </c>
      <c r="G151" t="s">
        <v>62</v>
      </c>
      <c r="H151" t="s">
        <v>21</v>
      </c>
      <c r="I151" t="s">
        <v>24</v>
      </c>
      <c r="J151" t="s">
        <v>23</v>
      </c>
      <c r="K151">
        <v>502</v>
      </c>
      <c r="L151">
        <v>18.1575867</v>
      </c>
      <c r="M151">
        <v>71.669164037835984</v>
      </c>
      <c r="N151">
        <v>-0.39426264781452552</v>
      </c>
      <c r="O151" s="1" t="str">
        <f>HYPERLINK(".\sm_car_210927_2323\sm_car_210927_2323_150_Ca152TrN_MaLSS_ode23t_1.png","figure")</f>
        <v>figure</v>
      </c>
      <c r="P151" t="s">
        <v>15</v>
      </c>
    </row>
    <row r="152" spans="1:16" x14ac:dyDescent="0.25">
      <c r="A152">
        <v>151</v>
      </c>
      <c r="B152">
        <v>153</v>
      </c>
      <c r="C152" t="s">
        <v>16</v>
      </c>
      <c r="D152" t="s">
        <v>17</v>
      </c>
      <c r="E152" t="s">
        <v>18</v>
      </c>
      <c r="F152" t="s">
        <v>19</v>
      </c>
      <c r="G152" t="s">
        <v>63</v>
      </c>
      <c r="H152" t="s">
        <v>21</v>
      </c>
      <c r="I152" t="s">
        <v>24</v>
      </c>
      <c r="J152" t="s">
        <v>23</v>
      </c>
      <c r="K152">
        <v>499</v>
      </c>
      <c r="L152">
        <v>17.566524699999999</v>
      </c>
      <c r="M152">
        <v>71.566483226648288</v>
      </c>
      <c r="N152">
        <v>-0.65795322948893853</v>
      </c>
      <c r="O152" s="1" t="str">
        <f>HYPERLINK(".\sm_car_210927_2323\sm_car_210927_2323_151_Ca153TrN_MaLSS_ode23t_1.png","figure")</f>
        <v>figure</v>
      </c>
      <c r="P152" t="s">
        <v>15</v>
      </c>
    </row>
    <row r="153" spans="1:16" x14ac:dyDescent="0.25">
      <c r="A153">
        <v>152</v>
      </c>
      <c r="B153">
        <v>154</v>
      </c>
      <c r="C153" t="s">
        <v>16</v>
      </c>
      <c r="D153" t="s">
        <v>17</v>
      </c>
      <c r="E153" t="s">
        <v>18</v>
      </c>
      <c r="F153" t="s">
        <v>19</v>
      </c>
      <c r="G153" t="s">
        <v>63</v>
      </c>
      <c r="H153" t="s">
        <v>21</v>
      </c>
      <c r="I153" t="s">
        <v>24</v>
      </c>
      <c r="J153" t="s">
        <v>23</v>
      </c>
      <c r="K153">
        <v>471</v>
      </c>
      <c r="L153">
        <v>23.157229399999999</v>
      </c>
      <c r="M153">
        <v>71.685111499748729</v>
      </c>
      <c r="N153">
        <v>-0.26194848780796565</v>
      </c>
      <c r="O153" s="1" t="str">
        <f>HYPERLINK(".\sm_car_210927_2323\sm_car_210927_2323_152_Ca154TrN_MaLSS_ode23t_1.png","figure")</f>
        <v>figure</v>
      </c>
      <c r="P153" t="s">
        <v>15</v>
      </c>
    </row>
    <row r="154" spans="1:16" x14ac:dyDescent="0.25">
      <c r="A154">
        <v>153</v>
      </c>
      <c r="B154">
        <v>155</v>
      </c>
      <c r="C154" t="s">
        <v>16</v>
      </c>
      <c r="D154" t="s">
        <v>17</v>
      </c>
      <c r="E154" t="s">
        <v>18</v>
      </c>
      <c r="F154" t="s">
        <v>19</v>
      </c>
      <c r="G154" t="s">
        <v>64</v>
      </c>
      <c r="H154" t="s">
        <v>21</v>
      </c>
      <c r="I154" t="s">
        <v>24</v>
      </c>
      <c r="J154" t="s">
        <v>23</v>
      </c>
      <c r="K154">
        <v>519</v>
      </c>
      <c r="L154">
        <v>25.336926200000001</v>
      </c>
      <c r="M154">
        <v>71.59880844143872</v>
      </c>
      <c r="N154">
        <v>-0.66069856687072237</v>
      </c>
      <c r="O154" s="1" t="str">
        <f>HYPERLINK(".\sm_car_210927_2323\sm_car_210927_2323_153_Ca155TrN_MaLSS_ode23t_1.png","figure")</f>
        <v>figure</v>
      </c>
      <c r="P154" t="s">
        <v>15</v>
      </c>
    </row>
    <row r="155" spans="1:16" x14ac:dyDescent="0.25">
      <c r="A155">
        <v>154</v>
      </c>
      <c r="B155">
        <v>4</v>
      </c>
      <c r="C155" t="s">
        <v>16</v>
      </c>
      <c r="D155" t="s">
        <v>17</v>
      </c>
      <c r="E155" t="s">
        <v>18</v>
      </c>
      <c r="F155" t="s">
        <v>28</v>
      </c>
      <c r="G155" t="s">
        <v>20</v>
      </c>
      <c r="H155" t="s">
        <v>21</v>
      </c>
      <c r="I155" t="s">
        <v>22</v>
      </c>
      <c r="J155" t="s">
        <v>65</v>
      </c>
      <c r="K155">
        <v>3245</v>
      </c>
      <c r="L155">
        <v>14.692854000000001</v>
      </c>
      <c r="M155">
        <v>233.90626249391681</v>
      </c>
      <c r="N155">
        <v>0.12105790989762684</v>
      </c>
      <c r="O155" s="1" t="str">
        <f>HYPERLINK(".\sm_car_210927_2323\sm_car_210927_2323_154_Ca004TrN_MaWOT_ode3_1.png","figure")</f>
        <v>figure</v>
      </c>
      <c r="P155" t="s">
        <v>15</v>
      </c>
    </row>
    <row r="156" spans="1:16" x14ac:dyDescent="0.25">
      <c r="A156">
        <v>155</v>
      </c>
      <c r="B156">
        <v>4</v>
      </c>
      <c r="C156" t="s">
        <v>16</v>
      </c>
      <c r="D156" t="s">
        <v>17</v>
      </c>
      <c r="E156" t="s">
        <v>18</v>
      </c>
      <c r="F156" t="s">
        <v>28</v>
      </c>
      <c r="G156" t="s">
        <v>20</v>
      </c>
      <c r="H156" t="s">
        <v>21</v>
      </c>
      <c r="I156" t="s">
        <v>24</v>
      </c>
      <c r="J156" t="s">
        <v>65</v>
      </c>
      <c r="K156">
        <v>2564</v>
      </c>
      <c r="L156">
        <v>11.844232999999999</v>
      </c>
      <c r="M156">
        <v>71.980102151596967</v>
      </c>
      <c r="N156">
        <v>-0.40089291474893357</v>
      </c>
      <c r="O156" s="1" t="str">
        <f>HYPERLINK(".\sm_car_210927_2323\sm_car_210927_2323_155_Ca004TrN_MaLSS_ode3_1.png","figure")</f>
        <v>figure</v>
      </c>
      <c r="P156" t="s">
        <v>15</v>
      </c>
    </row>
    <row r="157" spans="1:16" x14ac:dyDescent="0.25">
      <c r="A157">
        <v>156</v>
      </c>
      <c r="B157">
        <v>4</v>
      </c>
      <c r="C157" t="s">
        <v>16</v>
      </c>
      <c r="D157" t="s">
        <v>17</v>
      </c>
      <c r="E157" t="s">
        <v>18</v>
      </c>
      <c r="F157" t="s">
        <v>28</v>
      </c>
      <c r="G157" t="s">
        <v>20</v>
      </c>
      <c r="H157" t="s">
        <v>21</v>
      </c>
      <c r="I157" t="s">
        <v>66</v>
      </c>
      <c r="J157" t="s">
        <v>65</v>
      </c>
      <c r="K157">
        <v>2562</v>
      </c>
      <c r="L157">
        <v>11.918818699999999</v>
      </c>
      <c r="M157">
        <v>67.410754266154399</v>
      </c>
      <c r="N157">
        <v>-20.048175484534045</v>
      </c>
      <c r="O157" s="1" t="str">
        <f>HYPERLINK(".\sm_car_210927_2323\sm_car_210927_2323_156_Ca004TrN_MaTUR_ode3_1.png","figure")</f>
        <v>figure</v>
      </c>
      <c r="P157" t="s">
        <v>15</v>
      </c>
    </row>
    <row r="158" spans="1:16" x14ac:dyDescent="0.25">
      <c r="A158">
        <v>157</v>
      </c>
      <c r="B158">
        <v>116</v>
      </c>
      <c r="C158" t="s">
        <v>16</v>
      </c>
      <c r="D158" t="s">
        <v>35</v>
      </c>
      <c r="E158" t="s">
        <v>18</v>
      </c>
      <c r="F158" t="s">
        <v>28</v>
      </c>
      <c r="G158" t="s">
        <v>20</v>
      </c>
      <c r="H158" t="s">
        <v>21</v>
      </c>
      <c r="I158" t="s">
        <v>22</v>
      </c>
      <c r="J158" t="s">
        <v>65</v>
      </c>
      <c r="K158">
        <v>3244</v>
      </c>
      <c r="L158">
        <v>6.4502123999999998</v>
      </c>
      <c r="M158">
        <v>242.703768378512</v>
      </c>
      <c r="N158">
        <v>0.2332761037639571</v>
      </c>
      <c r="O158" s="1" t="str">
        <f>HYPERLINK(".\sm_car_210927_2323\sm_car_210927_2323_157_Ca116TrN_MaWOT_ode3_1.png","figure")</f>
        <v>figure</v>
      </c>
      <c r="P158" t="s">
        <v>15</v>
      </c>
    </row>
    <row r="159" spans="1:16" x14ac:dyDescent="0.25">
      <c r="A159">
        <v>158</v>
      </c>
      <c r="B159">
        <v>116</v>
      </c>
      <c r="C159" t="s">
        <v>16</v>
      </c>
      <c r="D159" t="s">
        <v>35</v>
      </c>
      <c r="E159" t="s">
        <v>18</v>
      </c>
      <c r="F159" t="s">
        <v>28</v>
      </c>
      <c r="G159" t="s">
        <v>20</v>
      </c>
      <c r="H159" t="s">
        <v>21</v>
      </c>
      <c r="I159" t="s">
        <v>24</v>
      </c>
      <c r="J159" t="s">
        <v>65</v>
      </c>
      <c r="K159">
        <v>2564</v>
      </c>
      <c r="L159">
        <v>5.3279440999999998</v>
      </c>
      <c r="M159">
        <v>74.659485010671858</v>
      </c>
      <c r="N159">
        <v>-0.34093690182644998</v>
      </c>
      <c r="O159" s="1" t="str">
        <f>HYPERLINK(".\sm_car_210927_2323\sm_car_210927_2323_158_Ca116TrN_MaLSS_ode3_1.png","figure")</f>
        <v>figure</v>
      </c>
      <c r="P159" t="s">
        <v>15</v>
      </c>
    </row>
    <row r="160" spans="1:16" x14ac:dyDescent="0.25">
      <c r="A160">
        <v>159</v>
      </c>
      <c r="B160">
        <v>116</v>
      </c>
      <c r="C160" t="s">
        <v>16</v>
      </c>
      <c r="D160" t="s">
        <v>35</v>
      </c>
      <c r="E160" t="s">
        <v>18</v>
      </c>
      <c r="F160" t="s">
        <v>28</v>
      </c>
      <c r="G160" t="s">
        <v>20</v>
      </c>
      <c r="H160" t="s">
        <v>21</v>
      </c>
      <c r="I160" t="s">
        <v>66</v>
      </c>
      <c r="J160" t="s">
        <v>65</v>
      </c>
      <c r="K160">
        <v>2563</v>
      </c>
      <c r="L160">
        <v>5.2906098000000004</v>
      </c>
      <c r="M160">
        <v>71.323969592384572</v>
      </c>
      <c r="N160">
        <v>-17.59153721267856</v>
      </c>
      <c r="O160" s="1" t="str">
        <f>HYPERLINK(".\sm_car_210927_2323\sm_car_210927_2323_159_Ca116TrN_MaTUR_ode3_1.png","figure")</f>
        <v>figure</v>
      </c>
      <c r="P160" t="s">
        <v>15</v>
      </c>
    </row>
    <row r="161" spans="1:16" x14ac:dyDescent="0.25">
      <c r="A161">
        <v>160</v>
      </c>
      <c r="B161">
        <v>124</v>
      </c>
      <c r="C161" t="s">
        <v>16</v>
      </c>
      <c r="D161" t="s">
        <v>35</v>
      </c>
      <c r="E161" t="s">
        <v>51</v>
      </c>
      <c r="F161" t="s">
        <v>28</v>
      </c>
      <c r="G161" t="s">
        <v>20</v>
      </c>
      <c r="H161" t="s">
        <v>21</v>
      </c>
      <c r="I161" t="s">
        <v>22</v>
      </c>
      <c r="J161" t="s">
        <v>65</v>
      </c>
      <c r="K161">
        <v>3244</v>
      </c>
      <c r="L161">
        <v>3.8362441999999999</v>
      </c>
      <c r="M161">
        <v>242.88010294536562</v>
      </c>
      <c r="N161">
        <v>0.23308232831669523</v>
      </c>
      <c r="O161" s="1" t="str">
        <f>HYPERLINK(".\sm_car_210927_2323\sm_car_210927_2323_160_Ca124TrN_MaWOT_ode3_1.png","figure")</f>
        <v>figure</v>
      </c>
      <c r="P161" t="s">
        <v>15</v>
      </c>
    </row>
    <row r="162" spans="1:16" x14ac:dyDescent="0.25">
      <c r="A162">
        <v>161</v>
      </c>
      <c r="B162">
        <v>124</v>
      </c>
      <c r="C162" t="s">
        <v>16</v>
      </c>
      <c r="D162" t="s">
        <v>35</v>
      </c>
      <c r="E162" t="s">
        <v>51</v>
      </c>
      <c r="F162" t="s">
        <v>28</v>
      </c>
      <c r="G162" t="s">
        <v>20</v>
      </c>
      <c r="H162" t="s">
        <v>21</v>
      </c>
      <c r="I162" t="s">
        <v>24</v>
      </c>
      <c r="J162" t="s">
        <v>65</v>
      </c>
      <c r="K162">
        <v>2565</v>
      </c>
      <c r="L162">
        <v>3.1101700000000001</v>
      </c>
      <c r="M162">
        <v>74.798386125337586</v>
      </c>
      <c r="N162">
        <v>-0.34251549212677246</v>
      </c>
      <c r="O162" s="1" t="str">
        <f>HYPERLINK(".\sm_car_210927_2323\sm_car_210927_2323_161_Ca124TrN_MaLSS_ode3_1.png","figure")</f>
        <v>figure</v>
      </c>
      <c r="P162" t="s">
        <v>15</v>
      </c>
    </row>
    <row r="163" spans="1:16" x14ac:dyDescent="0.25">
      <c r="A163">
        <v>162</v>
      </c>
      <c r="B163">
        <v>124</v>
      </c>
      <c r="C163" t="s">
        <v>16</v>
      </c>
      <c r="D163" t="s">
        <v>35</v>
      </c>
      <c r="E163" t="s">
        <v>51</v>
      </c>
      <c r="F163" t="s">
        <v>28</v>
      </c>
      <c r="G163" t="s">
        <v>20</v>
      </c>
      <c r="H163" t="s">
        <v>21</v>
      </c>
      <c r="I163" t="s">
        <v>66</v>
      </c>
      <c r="J163" t="s">
        <v>65</v>
      </c>
      <c r="K163">
        <v>2564</v>
      </c>
      <c r="L163">
        <v>3.0771196000000001</v>
      </c>
      <c r="M163">
        <v>71.449350091727041</v>
      </c>
      <c r="N163">
        <v>-17.637581471714412</v>
      </c>
      <c r="O163" s="1" t="str">
        <f>HYPERLINK(".\sm_car_210927_2323\sm_car_210927_2323_162_Ca124TrN_MaTUR_ode3_1.png","figure")</f>
        <v>figure</v>
      </c>
      <c r="P163" t="s">
        <v>15</v>
      </c>
    </row>
    <row r="164" spans="1:16" x14ac:dyDescent="0.25">
      <c r="A164">
        <v>163</v>
      </c>
      <c r="B164">
        <v>141</v>
      </c>
      <c r="C164" t="s">
        <v>45</v>
      </c>
      <c r="D164" t="s">
        <v>17</v>
      </c>
      <c r="E164" t="s">
        <v>18</v>
      </c>
      <c r="F164" t="s">
        <v>28</v>
      </c>
      <c r="G164" t="s">
        <v>26</v>
      </c>
      <c r="H164" t="s">
        <v>21</v>
      </c>
      <c r="I164" t="s">
        <v>22</v>
      </c>
      <c r="J164" t="s">
        <v>65</v>
      </c>
      <c r="K164">
        <v>3837</v>
      </c>
      <c r="L164">
        <v>24.872717099999999</v>
      </c>
      <c r="M164">
        <v>411.87640230427075</v>
      </c>
      <c r="N164">
        <v>0.36893375855480798</v>
      </c>
      <c r="O164" s="1" t="str">
        <f>HYPERLINK(".\sm_car_210927_2323\sm_car_210927_2323_163_Ca141TrN_MaWOT_ode3_1.png","figure")</f>
        <v>figure</v>
      </c>
      <c r="P164" t="s">
        <v>15</v>
      </c>
    </row>
    <row r="165" spans="1:16" x14ac:dyDescent="0.25">
      <c r="A165">
        <v>164</v>
      </c>
      <c r="B165">
        <v>141</v>
      </c>
      <c r="C165" t="s">
        <v>45</v>
      </c>
      <c r="D165" t="s">
        <v>17</v>
      </c>
      <c r="E165" t="s">
        <v>18</v>
      </c>
      <c r="F165" t="s">
        <v>28</v>
      </c>
      <c r="G165" t="s">
        <v>26</v>
      </c>
      <c r="H165" t="s">
        <v>21</v>
      </c>
      <c r="I165" t="s">
        <v>24</v>
      </c>
      <c r="J165" t="s">
        <v>65</v>
      </c>
      <c r="K165">
        <v>3193</v>
      </c>
      <c r="L165">
        <v>20.894155000000001</v>
      </c>
      <c r="M165">
        <v>156.90547472656482</v>
      </c>
      <c r="N165">
        <v>-1.0770287862908561</v>
      </c>
      <c r="O165" s="1" t="str">
        <f>HYPERLINK(".\sm_car_210927_2323\sm_car_210927_2323_164_Ca141TrN_MaLSS_ode3_1.png","figure")</f>
        <v>figure</v>
      </c>
      <c r="P165" t="s">
        <v>15</v>
      </c>
    </row>
    <row r="166" spans="1:16" x14ac:dyDescent="0.25">
      <c r="A166">
        <v>165</v>
      </c>
      <c r="B166">
        <v>141</v>
      </c>
      <c r="C166" t="s">
        <v>45</v>
      </c>
      <c r="D166" t="s">
        <v>17</v>
      </c>
      <c r="E166" t="s">
        <v>18</v>
      </c>
      <c r="F166" t="s">
        <v>28</v>
      </c>
      <c r="G166" t="s">
        <v>26</v>
      </c>
      <c r="H166" t="s">
        <v>21</v>
      </c>
      <c r="I166" t="s">
        <v>66</v>
      </c>
      <c r="J166" t="s">
        <v>65</v>
      </c>
      <c r="K166">
        <v>3147</v>
      </c>
      <c r="L166">
        <v>20.704903999999999</v>
      </c>
      <c r="M166">
        <v>90.816222248441093</v>
      </c>
      <c r="N166">
        <v>-89.799948058489292</v>
      </c>
      <c r="O166" s="1" t="str">
        <f>HYPERLINK(".\sm_car_210927_2323\sm_car_210927_2323_165_Ca141TrN_MaTUR_ode3_1.png","figure")</f>
        <v>figure</v>
      </c>
      <c r="P166" t="s">
        <v>15</v>
      </c>
    </row>
    <row r="167" spans="1:16" x14ac:dyDescent="0.25">
      <c r="A167">
        <v>166</v>
      </c>
      <c r="B167">
        <v>145</v>
      </c>
      <c r="C167" t="s">
        <v>46</v>
      </c>
      <c r="D167" t="s">
        <v>17</v>
      </c>
      <c r="E167" t="s">
        <v>52</v>
      </c>
      <c r="F167" t="s">
        <v>19</v>
      </c>
      <c r="G167" t="s">
        <v>26</v>
      </c>
      <c r="H167" t="s">
        <v>21</v>
      </c>
      <c r="I167" t="s">
        <v>22</v>
      </c>
      <c r="J167" t="s">
        <v>65</v>
      </c>
      <c r="K167">
        <v>2779</v>
      </c>
      <c r="L167">
        <v>16.058699799999999</v>
      </c>
      <c r="M167">
        <v>87.851529062469325</v>
      </c>
      <c r="N167">
        <v>-1.6307632963661436</v>
      </c>
      <c r="O167" s="1" t="str">
        <f>HYPERLINK(".\sm_car_210927_2323\sm_car_210927_2323_166_Ca145TrN_MaWOT_ode3_1.png","figure")</f>
        <v>figure</v>
      </c>
      <c r="P167" t="s">
        <v>15</v>
      </c>
    </row>
    <row r="168" spans="1:16" x14ac:dyDescent="0.25">
      <c r="A168">
        <v>167</v>
      </c>
      <c r="B168">
        <v>145</v>
      </c>
      <c r="C168" t="s">
        <v>46</v>
      </c>
      <c r="D168" t="s">
        <v>17</v>
      </c>
      <c r="E168" t="s">
        <v>52</v>
      </c>
      <c r="F168" t="s">
        <v>19</v>
      </c>
      <c r="G168" t="s">
        <v>26</v>
      </c>
      <c r="H168" t="s">
        <v>21</v>
      </c>
      <c r="I168" t="s">
        <v>24</v>
      </c>
      <c r="J168" t="s">
        <v>65</v>
      </c>
      <c r="K168">
        <v>2320</v>
      </c>
      <c r="L168">
        <v>13.564788099999999</v>
      </c>
      <c r="M168">
        <v>18.75720682117851</v>
      </c>
      <c r="N168">
        <v>-0.1260494338699886</v>
      </c>
      <c r="O168" s="1" t="str">
        <f>HYPERLINK(".\sm_car_210927_2323\sm_car_210927_2323_167_Ca145TrN_MaLSS_ode3_1.png","figure")</f>
        <v>figure</v>
      </c>
      <c r="P168" t="s">
        <v>15</v>
      </c>
    </row>
    <row r="169" spans="1:16" x14ac:dyDescent="0.25">
      <c r="A169">
        <v>168</v>
      </c>
      <c r="B169">
        <v>145</v>
      </c>
      <c r="C169" t="s">
        <v>46</v>
      </c>
      <c r="D169" t="s">
        <v>17</v>
      </c>
      <c r="E169" t="s">
        <v>52</v>
      </c>
      <c r="F169" t="s">
        <v>19</v>
      </c>
      <c r="G169" t="s">
        <v>26</v>
      </c>
      <c r="H169" t="s">
        <v>21</v>
      </c>
      <c r="I169" t="s">
        <v>66</v>
      </c>
      <c r="J169" t="s">
        <v>65</v>
      </c>
      <c r="K169">
        <v>2322</v>
      </c>
      <c r="L169">
        <v>13.6929499</v>
      </c>
      <c r="M169">
        <v>18.659800115542474</v>
      </c>
      <c r="N169">
        <v>-1.2938281518537322</v>
      </c>
      <c r="O169" s="1" t="str">
        <f>HYPERLINK(".\sm_car_210927_2323\sm_car_210927_2323_168_Ca145TrN_MaTUR_ode3_1.png","figure")</f>
        <v>figure</v>
      </c>
      <c r="P169" t="s">
        <v>15</v>
      </c>
    </row>
    <row r="170" spans="1:16" x14ac:dyDescent="0.25">
      <c r="A170">
        <v>169</v>
      </c>
      <c r="B170">
        <v>139</v>
      </c>
      <c r="C170" t="s">
        <v>45</v>
      </c>
      <c r="D170" t="s">
        <v>17</v>
      </c>
      <c r="E170" t="s">
        <v>18</v>
      </c>
      <c r="F170" t="s">
        <v>19</v>
      </c>
      <c r="G170" t="s">
        <v>26</v>
      </c>
      <c r="H170" t="s">
        <v>21</v>
      </c>
      <c r="I170" t="s">
        <v>55</v>
      </c>
      <c r="J170" t="s">
        <v>23</v>
      </c>
      <c r="K170">
        <v>684</v>
      </c>
      <c r="L170">
        <v>14.4870372</v>
      </c>
      <c r="M170">
        <v>383.23118331216807</v>
      </c>
      <c r="N170">
        <v>-3.1304477525839758E-4</v>
      </c>
      <c r="O170" s="1" t="str">
        <f>HYPERLINK(".\sm_car_210927_2323\sm_car_210927_2323_169_Ca139TrN_MaDLC_ode23t_1.png","figure")</f>
        <v>figure</v>
      </c>
      <c r="P170" t="s">
        <v>15</v>
      </c>
    </row>
    <row r="171" spans="1:16" x14ac:dyDescent="0.25">
      <c r="A171">
        <v>170</v>
      </c>
      <c r="B171">
        <v>139</v>
      </c>
      <c r="C171" t="s">
        <v>45</v>
      </c>
      <c r="D171" t="s">
        <v>17</v>
      </c>
      <c r="E171" t="s">
        <v>18</v>
      </c>
      <c r="F171" t="s">
        <v>19</v>
      </c>
      <c r="G171" t="s">
        <v>26</v>
      </c>
      <c r="H171" t="s">
        <v>67</v>
      </c>
      <c r="I171" t="s">
        <v>55</v>
      </c>
      <c r="J171" t="s">
        <v>23</v>
      </c>
      <c r="K171">
        <v>2198</v>
      </c>
      <c r="L171">
        <v>112.2436228</v>
      </c>
      <c r="M171">
        <v>316.90856130387033</v>
      </c>
      <c r="N171">
        <v>0.99382222360864336</v>
      </c>
      <c r="O171" s="1" t="str">
        <f>HYPERLINK(".\sm_car_210927_2323\sm_car_210927_2323_170_Ca139TrE_MaDLC_ode23t_1.png","figure")</f>
        <v>figure</v>
      </c>
      <c r="P171" t="s">
        <v>15</v>
      </c>
    </row>
    <row r="172" spans="1:16" x14ac:dyDescent="0.25">
      <c r="A172">
        <v>171</v>
      </c>
      <c r="B172">
        <v>139</v>
      </c>
      <c r="C172" t="s">
        <v>45</v>
      </c>
      <c r="D172" t="s">
        <v>17</v>
      </c>
      <c r="E172" t="s">
        <v>18</v>
      </c>
      <c r="F172" t="s">
        <v>19</v>
      </c>
      <c r="G172" t="s">
        <v>26</v>
      </c>
      <c r="H172" t="s">
        <v>68</v>
      </c>
      <c r="I172" t="s">
        <v>55</v>
      </c>
      <c r="J172" t="s">
        <v>23</v>
      </c>
      <c r="K172">
        <v>963</v>
      </c>
      <c r="L172">
        <v>46.9307795</v>
      </c>
      <c r="M172">
        <v>382.92536667851198</v>
      </c>
      <c r="N172">
        <v>-3.1556383525188636E-4</v>
      </c>
      <c r="O172" s="1" t="str">
        <f>HYPERLINK(".\sm_car_210927_2323\sm_car_210927_2323_171_Ca139TrT_MaDLC_ode23t_1.png","figure")</f>
        <v>figure</v>
      </c>
      <c r="P172" t="s">
        <v>15</v>
      </c>
    </row>
    <row r="173" spans="1:16" x14ac:dyDescent="0.25">
      <c r="A173">
        <v>172</v>
      </c>
      <c r="B173">
        <v>2</v>
      </c>
      <c r="C173" t="s">
        <v>16</v>
      </c>
      <c r="D173" t="s">
        <v>17</v>
      </c>
      <c r="E173" t="s">
        <v>18</v>
      </c>
      <c r="F173" t="s">
        <v>19</v>
      </c>
      <c r="G173" t="s">
        <v>26</v>
      </c>
      <c r="H173" t="s">
        <v>21</v>
      </c>
      <c r="I173" t="s">
        <v>55</v>
      </c>
      <c r="J173" t="s">
        <v>23</v>
      </c>
      <c r="K173">
        <v>669</v>
      </c>
      <c r="L173">
        <v>15.0802365</v>
      </c>
      <c r="M173">
        <v>381.87183567645098</v>
      </c>
      <c r="N173">
        <v>1.7693029302101593E-4</v>
      </c>
      <c r="O173" s="1" t="str">
        <f>HYPERLINK(".\sm_car_210927_2323\sm_car_210927_2323_172_Ca002TrN_MaDLC_ode23t_1.png","figure")</f>
        <v>figure</v>
      </c>
      <c r="P173" t="s">
        <v>15</v>
      </c>
    </row>
    <row r="174" spans="1:16" x14ac:dyDescent="0.25">
      <c r="A174">
        <v>173</v>
      </c>
      <c r="B174">
        <v>2</v>
      </c>
      <c r="C174" t="s">
        <v>16</v>
      </c>
      <c r="D174" t="s">
        <v>17</v>
      </c>
      <c r="E174" t="s">
        <v>18</v>
      </c>
      <c r="F174" t="s">
        <v>19</v>
      </c>
      <c r="G174" t="s">
        <v>26</v>
      </c>
      <c r="H174" t="s">
        <v>67</v>
      </c>
      <c r="I174" t="s">
        <v>55</v>
      </c>
      <c r="J174" t="s">
        <v>23</v>
      </c>
      <c r="K174">
        <v>761</v>
      </c>
      <c r="L174">
        <v>31.098364799999999</v>
      </c>
      <c r="M174">
        <v>381.04014856242486</v>
      </c>
      <c r="N174">
        <v>1.5894274362260319E-4</v>
      </c>
      <c r="O174" s="1" t="str">
        <f>HYPERLINK(".\sm_car_210927_2323\sm_car_210927_2323_173_Ca002TrE_MaDLC_ode23t_1.png","figure")</f>
        <v>figure</v>
      </c>
      <c r="P174" t="s">
        <v>15</v>
      </c>
    </row>
    <row r="175" spans="1:16" x14ac:dyDescent="0.25">
      <c r="A175">
        <v>174</v>
      </c>
      <c r="B175">
        <v>2</v>
      </c>
      <c r="C175" t="s">
        <v>16</v>
      </c>
      <c r="D175" t="s">
        <v>17</v>
      </c>
      <c r="E175" t="s">
        <v>18</v>
      </c>
      <c r="F175" t="s">
        <v>19</v>
      </c>
      <c r="G175" t="s">
        <v>26</v>
      </c>
      <c r="H175" t="s">
        <v>68</v>
      </c>
      <c r="I175" t="s">
        <v>55</v>
      </c>
      <c r="J175" t="s">
        <v>23</v>
      </c>
      <c r="K175">
        <v>969</v>
      </c>
      <c r="L175">
        <v>45.082874199999999</v>
      </c>
      <c r="M175">
        <v>381.61850562927367</v>
      </c>
      <c r="N175">
        <v>1.7561962030931966E-4</v>
      </c>
      <c r="O175" s="1" t="str">
        <f>HYPERLINK(".\sm_car_210927_2323\sm_car_210927_2323_174_Ca002TrT_MaDLC_ode23t_1.png","figure")</f>
        <v>figure</v>
      </c>
      <c r="P175" t="s">
        <v>15</v>
      </c>
    </row>
    <row r="176" spans="1:16" x14ac:dyDescent="0.25">
      <c r="A176">
        <v>175</v>
      </c>
      <c r="B176">
        <v>145</v>
      </c>
      <c r="C176" t="s">
        <v>46</v>
      </c>
      <c r="D176" t="s">
        <v>17</v>
      </c>
      <c r="E176" t="s">
        <v>52</v>
      </c>
      <c r="F176" t="s">
        <v>19</v>
      </c>
      <c r="G176" t="s">
        <v>26</v>
      </c>
      <c r="H176" t="s">
        <v>21</v>
      </c>
      <c r="I176" t="s">
        <v>55</v>
      </c>
      <c r="J176" t="s">
        <v>23</v>
      </c>
      <c r="K176">
        <v>1152</v>
      </c>
      <c r="L176">
        <v>38.1990427</v>
      </c>
      <c r="M176">
        <v>369.60497382467901</v>
      </c>
      <c r="N176">
        <v>-1.3273422660488254E-2</v>
      </c>
      <c r="O176" s="1" t="str">
        <f>HYPERLINK(".\sm_car_210927_2323\sm_car_210927_2323_175_Ca145TrN_MaDLC_ode23t_1.png","figure")</f>
        <v>figure</v>
      </c>
      <c r="P176" t="s">
        <v>15</v>
      </c>
    </row>
    <row r="177" spans="1:16" x14ac:dyDescent="0.25">
      <c r="A177">
        <v>176</v>
      </c>
      <c r="B177">
        <v>145</v>
      </c>
      <c r="C177" t="s">
        <v>46</v>
      </c>
      <c r="D177" t="s">
        <v>17</v>
      </c>
      <c r="E177" t="s">
        <v>52</v>
      </c>
      <c r="F177" t="s">
        <v>19</v>
      </c>
      <c r="G177" t="s">
        <v>26</v>
      </c>
      <c r="H177" t="s">
        <v>67</v>
      </c>
      <c r="I177" t="s">
        <v>55</v>
      </c>
      <c r="J177" t="s">
        <v>23</v>
      </c>
      <c r="K177">
        <v>1194</v>
      </c>
      <c r="L177">
        <v>61.562465500000002</v>
      </c>
      <c r="M177">
        <v>368.5071174644832</v>
      </c>
      <c r="N177">
        <v>-1.264246097448396E-2</v>
      </c>
      <c r="O177" s="1" t="str">
        <f>HYPERLINK(".\sm_car_210927_2323\sm_car_210927_2323_176_Ca145TrE_MaDLC_ode23t_1.png","figure")</f>
        <v>figure</v>
      </c>
      <c r="P177" t="s">
        <v>15</v>
      </c>
    </row>
    <row r="178" spans="1:16" x14ac:dyDescent="0.25">
      <c r="A178">
        <v>177</v>
      </c>
      <c r="B178">
        <v>145</v>
      </c>
      <c r="C178" t="s">
        <v>46</v>
      </c>
      <c r="D178" t="s">
        <v>17</v>
      </c>
      <c r="E178" t="s">
        <v>52</v>
      </c>
      <c r="F178" t="s">
        <v>19</v>
      </c>
      <c r="G178" t="s">
        <v>26</v>
      </c>
      <c r="H178" t="s">
        <v>68</v>
      </c>
      <c r="I178" t="s">
        <v>55</v>
      </c>
      <c r="J178" t="s">
        <v>23</v>
      </c>
      <c r="K178">
        <v>1263</v>
      </c>
      <c r="L178">
        <v>74.846341300000006</v>
      </c>
      <c r="M178">
        <v>369.2298452438277</v>
      </c>
      <c r="N178">
        <v>-1.324606686775498E-2</v>
      </c>
      <c r="O178" s="1" t="str">
        <f>HYPERLINK(".\sm_car_210927_2323\sm_car_210927_2323_177_Ca145TrT_MaDLC_ode23t_1.png","figure")</f>
        <v>figure</v>
      </c>
      <c r="P178" t="s">
        <v>15</v>
      </c>
    </row>
    <row r="179" spans="1:16" x14ac:dyDescent="0.25">
      <c r="A179">
        <v>178</v>
      </c>
      <c r="B179">
        <v>139</v>
      </c>
      <c r="C179" t="s">
        <v>45</v>
      </c>
      <c r="D179" t="s">
        <v>17</v>
      </c>
      <c r="E179" t="s">
        <v>18</v>
      </c>
      <c r="F179" t="s">
        <v>19</v>
      </c>
      <c r="G179" t="s">
        <v>26</v>
      </c>
      <c r="H179" t="s">
        <v>67</v>
      </c>
      <c r="I179" t="s">
        <v>69</v>
      </c>
      <c r="J179" t="s">
        <v>23</v>
      </c>
      <c r="K179">
        <v>463</v>
      </c>
      <c r="L179">
        <v>15.481759500000001</v>
      </c>
      <c r="M179">
        <v>261.61432211094046</v>
      </c>
      <c r="N179">
        <v>-3.126630880259107E-4</v>
      </c>
      <c r="O179" s="1" t="str">
        <f>HYPERLINK(".\sm_car_210927_2323\sm_car_210927_2323_178_Ca139TrE_MaTRD_ode23t_1.png","figure")</f>
        <v>figure</v>
      </c>
      <c r="P179" t="s">
        <v>15</v>
      </c>
    </row>
    <row r="180" spans="1:16" x14ac:dyDescent="0.25">
      <c r="A180">
        <v>179</v>
      </c>
      <c r="B180">
        <v>139</v>
      </c>
      <c r="C180" t="s">
        <v>45</v>
      </c>
      <c r="D180" t="s">
        <v>17</v>
      </c>
      <c r="E180" t="s">
        <v>18</v>
      </c>
      <c r="F180" t="s">
        <v>19</v>
      </c>
      <c r="G180" t="s">
        <v>26</v>
      </c>
      <c r="H180" t="s">
        <v>67</v>
      </c>
      <c r="I180" t="s">
        <v>69</v>
      </c>
      <c r="J180" t="s">
        <v>23</v>
      </c>
      <c r="K180">
        <v>542</v>
      </c>
      <c r="L180">
        <v>17.347677900000001</v>
      </c>
      <c r="M180">
        <v>261.69894760376405</v>
      </c>
      <c r="N180">
        <v>4.3785875066948421E-4</v>
      </c>
      <c r="O180" s="1" t="str">
        <f>HYPERLINK(".\sm_car_210927_2323\sm_car_210927_2323_179_Ca139TrU_MaTRD_ode23t_1.png","figure")</f>
        <v>figure</v>
      </c>
      <c r="P180" t="s">
        <v>15</v>
      </c>
    </row>
    <row r="181" spans="1:16" x14ac:dyDescent="0.25">
      <c r="A181">
        <v>180</v>
      </c>
      <c r="B181">
        <v>149</v>
      </c>
      <c r="C181" t="s">
        <v>46</v>
      </c>
      <c r="D181" t="s">
        <v>17</v>
      </c>
      <c r="E181" t="s">
        <v>70</v>
      </c>
      <c r="F181" t="s">
        <v>19</v>
      </c>
      <c r="G181" t="s">
        <v>26</v>
      </c>
      <c r="H181" t="s">
        <v>21</v>
      </c>
      <c r="I181" t="s">
        <v>71</v>
      </c>
      <c r="J181" t="s">
        <v>23</v>
      </c>
      <c r="K181">
        <v>2225</v>
      </c>
      <c r="L181">
        <v>30.6756885</v>
      </c>
      <c r="M181">
        <v>-1.1964262700920765E-4</v>
      </c>
      <c r="N181">
        <v>-1.28718336106005E-3</v>
      </c>
      <c r="O181" s="1" t="str">
        <f>HYPERLINK(".\sm_car_210927_2323\sm_car_210927_2323_180_Ca149TrN_MaPST_ode23t_1.png","figure")</f>
        <v>figure</v>
      </c>
      <c r="P181" t="s">
        <v>15</v>
      </c>
    </row>
    <row r="182" spans="1:16" x14ac:dyDescent="0.25">
      <c r="A182">
        <v>181</v>
      </c>
      <c r="B182">
        <v>139</v>
      </c>
      <c r="C182" t="s">
        <v>45</v>
      </c>
      <c r="D182" t="s">
        <v>17</v>
      </c>
      <c r="E182" t="s">
        <v>18</v>
      </c>
      <c r="F182" t="s">
        <v>19</v>
      </c>
      <c r="G182" t="s">
        <v>26</v>
      </c>
      <c r="H182" t="s">
        <v>21</v>
      </c>
      <c r="I182" t="s">
        <v>72</v>
      </c>
      <c r="J182" t="s">
        <v>23</v>
      </c>
      <c r="K182">
        <v>4606</v>
      </c>
      <c r="L182">
        <v>96.056122799999997</v>
      </c>
      <c r="M182">
        <v>31.257717604042259</v>
      </c>
      <c r="N182">
        <v>0.83392022005661803</v>
      </c>
      <c r="O182" s="1" t="str">
        <f>HYPERLINK(".\sm_car_210927_2323\sm_car_210927_2323_181_Ca139TrN_MaSKD_ode23t_1.png","figure")</f>
        <v>figure</v>
      </c>
      <c r="P182" t="s">
        <v>15</v>
      </c>
    </row>
    <row r="183" spans="1:16" x14ac:dyDescent="0.25">
      <c r="A183">
        <v>182</v>
      </c>
      <c r="B183">
        <v>139</v>
      </c>
      <c r="C183" t="s">
        <v>45</v>
      </c>
      <c r="D183" t="s">
        <v>17</v>
      </c>
      <c r="E183" t="s">
        <v>18</v>
      </c>
      <c r="F183" t="s">
        <v>19</v>
      </c>
      <c r="G183" t="s">
        <v>26</v>
      </c>
      <c r="H183" t="s">
        <v>21</v>
      </c>
      <c r="I183" t="s">
        <v>73</v>
      </c>
      <c r="J183" t="s">
        <v>23</v>
      </c>
      <c r="K183">
        <v>1794</v>
      </c>
      <c r="L183">
        <v>65.549900399999999</v>
      </c>
      <c r="M183">
        <v>3.1942342544305937</v>
      </c>
      <c r="N183">
        <v>26.324854366138048</v>
      </c>
      <c r="O183" s="1" t="str">
        <f>HYPERLINK(".\sm_car_210927_2323\sm_car_210927_2323_182_Ca139TrN_MaRAD_ode23t_1.png","figure")</f>
        <v>figure</v>
      </c>
      <c r="P183" t="s">
        <v>15</v>
      </c>
    </row>
    <row r="184" spans="1:16" x14ac:dyDescent="0.25">
      <c r="A184">
        <v>183</v>
      </c>
      <c r="B184">
        <v>184</v>
      </c>
      <c r="C184" t="s">
        <v>49</v>
      </c>
      <c r="D184" t="s">
        <v>50</v>
      </c>
      <c r="E184" t="s">
        <v>51</v>
      </c>
      <c r="F184" t="s">
        <v>19</v>
      </c>
      <c r="G184" t="s">
        <v>20</v>
      </c>
      <c r="H184" t="s">
        <v>21</v>
      </c>
      <c r="I184" t="s">
        <v>72</v>
      </c>
      <c r="J184" t="s">
        <v>23</v>
      </c>
      <c r="K184">
        <v>3855</v>
      </c>
      <c r="L184">
        <v>138.52264070000001</v>
      </c>
      <c r="M184">
        <v>25.365654109953169</v>
      </c>
      <c r="N184">
        <v>0.72617949917785118</v>
      </c>
      <c r="O184" s="1" t="str">
        <f>HYPERLINK(".\sm_car_210927_2323\sm_car_210927_2323_183_Ca184TrN_MaSKD_ode23t_1.png","figure")</f>
        <v>figure</v>
      </c>
      <c r="P184" t="s">
        <v>15</v>
      </c>
    </row>
    <row r="185" spans="1:16" x14ac:dyDescent="0.25">
      <c r="A185">
        <v>184</v>
      </c>
      <c r="B185">
        <v>184</v>
      </c>
      <c r="C185" t="s">
        <v>49</v>
      </c>
      <c r="D185" t="s">
        <v>50</v>
      </c>
      <c r="E185" t="s">
        <v>51</v>
      </c>
      <c r="F185" t="s">
        <v>19</v>
      </c>
      <c r="G185" t="s">
        <v>20</v>
      </c>
      <c r="H185" t="s">
        <v>21</v>
      </c>
      <c r="I185" t="s">
        <v>73</v>
      </c>
      <c r="J185" t="s">
        <v>23</v>
      </c>
      <c r="K185">
        <v>1278</v>
      </c>
      <c r="L185">
        <v>65.564537799999997</v>
      </c>
      <c r="M185">
        <v>12.103361868586871</v>
      </c>
      <c r="N185">
        <v>22.727159873798673</v>
      </c>
      <c r="O185" s="1" t="str">
        <f>HYPERLINK(".\sm_car_210927_2323\sm_car_210927_2323_184_Ca184TrN_MaRAD_ode23t_1.png","figure")</f>
        <v>figure</v>
      </c>
      <c r="P185" t="s">
        <v>15</v>
      </c>
    </row>
    <row r="186" spans="1:16" x14ac:dyDescent="0.25">
      <c r="A186">
        <v>185</v>
      </c>
      <c r="B186">
        <v>156</v>
      </c>
      <c r="C186" t="s">
        <v>45</v>
      </c>
      <c r="D186" t="s">
        <v>17</v>
      </c>
      <c r="E186" t="s">
        <v>18</v>
      </c>
      <c r="F186" t="s">
        <v>19</v>
      </c>
      <c r="G186" t="s">
        <v>38</v>
      </c>
      <c r="H186" t="s">
        <v>21</v>
      </c>
      <c r="I186" t="s">
        <v>56</v>
      </c>
      <c r="J186" t="s">
        <v>23</v>
      </c>
      <c r="K186">
        <v>26197</v>
      </c>
      <c r="L186">
        <v>787.5905391</v>
      </c>
      <c r="M186">
        <v>20.15467961147823</v>
      </c>
      <c r="N186">
        <v>3.0534850090109518</v>
      </c>
      <c r="O186" s="1" t="str">
        <f>HYPERLINK(".\sm_car_210927_2323\sm_car_210927_2323_185_Ca156TrN_MaIPA_ode23t.png","figure")</f>
        <v>figure</v>
      </c>
      <c r="P186" t="s">
        <v>15</v>
      </c>
    </row>
    <row r="187" spans="1:16" x14ac:dyDescent="0.25">
      <c r="A187">
        <v>186</v>
      </c>
      <c r="B187">
        <v>130</v>
      </c>
      <c r="C187" t="s">
        <v>16</v>
      </c>
      <c r="D187" t="s">
        <v>17</v>
      </c>
      <c r="E187" t="s">
        <v>18</v>
      </c>
      <c r="F187" t="s">
        <v>19</v>
      </c>
      <c r="G187" t="s">
        <v>38</v>
      </c>
      <c r="H187" t="s">
        <v>21</v>
      </c>
      <c r="I187" t="s">
        <v>56</v>
      </c>
      <c r="J187" t="s">
        <v>23</v>
      </c>
      <c r="K187">
        <v>17916</v>
      </c>
      <c r="L187">
        <v>421.58841869999998</v>
      </c>
      <c r="M187">
        <v>16.631092130484006</v>
      </c>
      <c r="N187">
        <v>0.65126656338005839</v>
      </c>
      <c r="O187" s="1" t="str">
        <f>HYPERLINK(".\sm_car_210927_2323\sm_car_210927_2323_186_Ca130TrN_MaIPA_ode23t.png","figure")</f>
        <v>figure</v>
      </c>
      <c r="P187" t="s">
        <v>15</v>
      </c>
    </row>
    <row r="188" spans="1:16" x14ac:dyDescent="0.25">
      <c r="A188">
        <v>187</v>
      </c>
      <c r="B188">
        <v>171</v>
      </c>
      <c r="C188" t="s">
        <v>45</v>
      </c>
      <c r="D188" t="s">
        <v>17</v>
      </c>
      <c r="E188" t="s">
        <v>74</v>
      </c>
      <c r="F188" t="s">
        <v>19</v>
      </c>
      <c r="G188" t="s">
        <v>26</v>
      </c>
      <c r="H188" t="s">
        <v>21</v>
      </c>
      <c r="I188" t="s">
        <v>75</v>
      </c>
      <c r="J188" t="s">
        <v>23</v>
      </c>
      <c r="K188">
        <v>2593</v>
      </c>
      <c r="L188">
        <v>42.774205899999998</v>
      </c>
      <c r="M188">
        <v>347.65411345175431</v>
      </c>
      <c r="N188">
        <v>-0.41316300182597077</v>
      </c>
      <c r="O188" s="1" t="str">
        <f>HYPERLINK(".\sm_car_210927_2323\sm_car_210927_2323_187_Ca171TrN_MaRDP_ode23t_1.png","figure")</f>
        <v>figure</v>
      </c>
      <c r="P188" t="s">
        <v>15</v>
      </c>
    </row>
    <row r="189" spans="1:16" x14ac:dyDescent="0.25">
      <c r="A189">
        <v>188</v>
      </c>
      <c r="B189">
        <v>172</v>
      </c>
      <c r="C189" t="s">
        <v>46</v>
      </c>
      <c r="D189" t="s">
        <v>17</v>
      </c>
      <c r="E189" t="s">
        <v>74</v>
      </c>
      <c r="F189" t="s">
        <v>19</v>
      </c>
      <c r="G189" t="s">
        <v>26</v>
      </c>
      <c r="H189" t="s">
        <v>21</v>
      </c>
      <c r="I189" t="s">
        <v>75</v>
      </c>
      <c r="J189" t="s">
        <v>23</v>
      </c>
      <c r="K189">
        <v>1435</v>
      </c>
      <c r="L189">
        <v>22.716626900000001</v>
      </c>
      <c r="M189">
        <v>132.42979754948718</v>
      </c>
      <c r="N189">
        <v>-0.10694570348546327</v>
      </c>
      <c r="O189" s="1" t="str">
        <f>HYPERLINK(".\sm_car_210927_2323\sm_car_210927_2323_188_Ca172TrN_MaRDP_ode23t_1.png","figure")</f>
        <v>figure</v>
      </c>
      <c r="P189" t="s">
        <v>15</v>
      </c>
    </row>
    <row r="190" spans="1:16" x14ac:dyDescent="0.25">
      <c r="A190">
        <v>189</v>
      </c>
      <c r="B190">
        <v>139</v>
      </c>
      <c r="C190" t="s">
        <v>45</v>
      </c>
      <c r="D190" t="s">
        <v>17</v>
      </c>
      <c r="E190" t="s">
        <v>18</v>
      </c>
      <c r="F190" t="s">
        <v>19</v>
      </c>
      <c r="G190" t="s">
        <v>26</v>
      </c>
      <c r="H190" t="s">
        <v>21</v>
      </c>
      <c r="I190" t="s">
        <v>76</v>
      </c>
      <c r="J190" t="s">
        <v>23</v>
      </c>
      <c r="K190">
        <v>2479</v>
      </c>
      <c r="L190">
        <v>30.262369799999998</v>
      </c>
      <c r="M190">
        <v>371.29072242270996</v>
      </c>
      <c r="N190">
        <v>-0.48706869225702554</v>
      </c>
      <c r="O190" s="1" t="str">
        <f>HYPERLINK(".\sm_car_210927_2323\sm_car_210927_2323_189_Ca139TrN_MaZPL_ode23t_1.png","figure")</f>
        <v>figure</v>
      </c>
      <c r="P190" t="s">
        <v>15</v>
      </c>
    </row>
    <row r="191" spans="1:16" x14ac:dyDescent="0.25">
      <c r="A191">
        <v>190</v>
      </c>
      <c r="B191">
        <v>165</v>
      </c>
      <c r="C191" t="s">
        <v>45</v>
      </c>
      <c r="D191" t="s">
        <v>35</v>
      </c>
      <c r="E191" t="s">
        <v>51</v>
      </c>
      <c r="F191" t="s">
        <v>19</v>
      </c>
      <c r="G191" t="s">
        <v>26</v>
      </c>
      <c r="H191" t="s">
        <v>21</v>
      </c>
      <c r="I191" t="s">
        <v>76</v>
      </c>
      <c r="J191" t="s">
        <v>23</v>
      </c>
      <c r="K191">
        <v>2381</v>
      </c>
      <c r="L191">
        <v>20.826734600000002</v>
      </c>
      <c r="M191">
        <v>397.34821847210725</v>
      </c>
      <c r="N191">
        <v>0.33418503620979079</v>
      </c>
      <c r="O191" s="1" t="str">
        <f>HYPERLINK(".\sm_car_210927_2323\sm_car_210927_2323_190_Ca165TrN_MaZPL_ode23t_1.png","figure")</f>
        <v>figure</v>
      </c>
      <c r="P191" t="s">
        <v>15</v>
      </c>
    </row>
    <row r="192" spans="1:16" x14ac:dyDescent="0.25">
      <c r="A192">
        <v>191</v>
      </c>
      <c r="B192">
        <v>171</v>
      </c>
      <c r="C192" t="s">
        <v>45</v>
      </c>
      <c r="D192" t="s">
        <v>17</v>
      </c>
      <c r="E192" t="s">
        <v>74</v>
      </c>
      <c r="F192" t="s">
        <v>19</v>
      </c>
      <c r="G192" t="s">
        <v>26</v>
      </c>
      <c r="H192" t="s">
        <v>21</v>
      </c>
      <c r="I192" t="s">
        <v>76</v>
      </c>
      <c r="J192" t="s">
        <v>23</v>
      </c>
      <c r="K192">
        <v>2856</v>
      </c>
      <c r="L192">
        <v>44.528912400000003</v>
      </c>
      <c r="M192">
        <v>371.4481432876558</v>
      </c>
      <c r="N192">
        <v>-0.48372613925202679</v>
      </c>
      <c r="O192" s="1" t="str">
        <f>HYPERLINK(".\sm_car_210927_2323\sm_car_210927_2323_191_Ca171TrN_MaZPL_ode23t_1.png","figure")</f>
        <v>figure</v>
      </c>
      <c r="P192" t="s">
        <v>15</v>
      </c>
    </row>
    <row r="193" spans="1:16" x14ac:dyDescent="0.25">
      <c r="A193">
        <v>192</v>
      </c>
      <c r="B193">
        <v>165</v>
      </c>
      <c r="C193" t="s">
        <v>45</v>
      </c>
      <c r="D193" t="s">
        <v>35</v>
      </c>
      <c r="E193" t="s">
        <v>51</v>
      </c>
      <c r="F193" t="s">
        <v>19</v>
      </c>
      <c r="G193" t="s">
        <v>26</v>
      </c>
      <c r="H193" t="s">
        <v>21</v>
      </c>
      <c r="I193" t="s">
        <v>77</v>
      </c>
      <c r="J193" t="s">
        <v>23</v>
      </c>
      <c r="K193">
        <v>2351</v>
      </c>
      <c r="L193">
        <v>21.508487899999999</v>
      </c>
      <c r="M193">
        <v>377.97243710097359</v>
      </c>
      <c r="N193">
        <v>0.32131808613330937</v>
      </c>
      <c r="O193" s="1" t="str">
        <f>HYPERLINK(".\sm_car_210927_2323\sm_car_210927_2323_192_Ca165TrN_MaCPL_ode23t_1.png","figure")</f>
        <v>figure</v>
      </c>
      <c r="P193" t="s">
        <v>15</v>
      </c>
    </row>
    <row r="194" spans="1:16" x14ac:dyDescent="0.25">
      <c r="A194">
        <v>193</v>
      </c>
      <c r="B194">
        <v>171</v>
      </c>
      <c r="C194" t="s">
        <v>45</v>
      </c>
      <c r="D194" t="s">
        <v>17</v>
      </c>
      <c r="E194" t="s">
        <v>74</v>
      </c>
      <c r="F194" t="s">
        <v>19</v>
      </c>
      <c r="G194" t="s">
        <v>26</v>
      </c>
      <c r="H194" t="s">
        <v>21</v>
      </c>
      <c r="I194" t="s">
        <v>77</v>
      </c>
      <c r="J194" t="s">
        <v>23</v>
      </c>
      <c r="K194">
        <v>2494</v>
      </c>
      <c r="L194">
        <v>37.067943499999998</v>
      </c>
      <c r="M194">
        <v>347.65909636839928</v>
      </c>
      <c r="N194">
        <v>-0.41334942938976466</v>
      </c>
      <c r="O194" s="1" t="str">
        <f>HYPERLINK(".\sm_car_210927_2323\sm_car_210927_2323_193_Ca171TrN_MaCPL_ode23t_1.png","figure")</f>
        <v>figure</v>
      </c>
      <c r="P194" t="s">
        <v>15</v>
      </c>
    </row>
    <row r="195" spans="1:16" x14ac:dyDescent="0.25">
      <c r="A195">
        <v>194</v>
      </c>
      <c r="B195">
        <v>171</v>
      </c>
      <c r="C195" t="s">
        <v>45</v>
      </c>
      <c r="D195" t="s">
        <v>17</v>
      </c>
      <c r="E195" t="s">
        <v>74</v>
      </c>
      <c r="F195" t="s">
        <v>19</v>
      </c>
      <c r="G195" t="s">
        <v>26</v>
      </c>
      <c r="H195" t="s">
        <v>21</v>
      </c>
      <c r="I195" t="s">
        <v>78</v>
      </c>
      <c r="J195" t="s">
        <v>23</v>
      </c>
      <c r="K195">
        <v>3334</v>
      </c>
      <c r="L195">
        <v>70.366036399999999</v>
      </c>
      <c r="M195">
        <v>151.78405570546076</v>
      </c>
      <c r="N195">
        <v>2.5842793616325389E-4</v>
      </c>
      <c r="O195" s="1" t="str">
        <f>HYPERLINK(".\sm_car_210927_2323\sm_car_210927_2323_194_Ca171TrN_MaRDR_ode23t_1.png","figure")</f>
        <v>figure</v>
      </c>
      <c r="P195" t="s">
        <v>15</v>
      </c>
    </row>
    <row r="196" spans="1:16" x14ac:dyDescent="0.25">
      <c r="A196">
        <v>195</v>
      </c>
      <c r="B196">
        <v>172</v>
      </c>
      <c r="C196" t="s">
        <v>46</v>
      </c>
      <c r="D196" t="s">
        <v>17</v>
      </c>
      <c r="E196" t="s">
        <v>74</v>
      </c>
      <c r="F196" t="s">
        <v>19</v>
      </c>
      <c r="G196" t="s">
        <v>26</v>
      </c>
      <c r="H196" t="s">
        <v>21</v>
      </c>
      <c r="I196" t="s">
        <v>78</v>
      </c>
      <c r="J196" t="s">
        <v>23</v>
      </c>
      <c r="K196">
        <v>3418</v>
      </c>
      <c r="L196">
        <v>56.186304399999997</v>
      </c>
      <c r="M196">
        <v>146.54314440927928</v>
      </c>
      <c r="N196">
        <v>3.8567653305458943E-3</v>
      </c>
      <c r="O196" s="1" t="str">
        <f>HYPERLINK(".\sm_car_210927_2323\sm_car_210927_2323_195_Ca172TrN_MaRDR_ode23t_1.png","figure")</f>
        <v>figure</v>
      </c>
      <c r="P196" t="s">
        <v>15</v>
      </c>
    </row>
    <row r="197" spans="1:16" x14ac:dyDescent="0.25">
      <c r="A197">
        <v>196</v>
      </c>
      <c r="B197">
        <v>139</v>
      </c>
      <c r="C197" t="s">
        <v>45</v>
      </c>
      <c r="D197" t="s">
        <v>17</v>
      </c>
      <c r="E197" t="s">
        <v>18</v>
      </c>
      <c r="F197" t="s">
        <v>19</v>
      </c>
      <c r="G197" t="s">
        <v>26</v>
      </c>
      <c r="H197" t="s">
        <v>21</v>
      </c>
      <c r="I197" t="s">
        <v>79</v>
      </c>
      <c r="J197" t="s">
        <v>23</v>
      </c>
      <c r="K197">
        <v>3935</v>
      </c>
      <c r="L197">
        <v>55.916928599999999</v>
      </c>
      <c r="M197">
        <v>175.86027414522241</v>
      </c>
      <c r="N197">
        <v>-4.7906949754527809E-5</v>
      </c>
      <c r="O197" s="1" t="str">
        <f>HYPERLINK(".\sm_car_210927_2323\sm_car_210927_2323_196_Ca139TrN_MaZRR_ode23t_1.png","figure")</f>
        <v>figure</v>
      </c>
      <c r="P197" t="s">
        <v>15</v>
      </c>
    </row>
    <row r="198" spans="1:16" x14ac:dyDescent="0.25">
      <c r="A198">
        <v>197</v>
      </c>
      <c r="B198">
        <v>165</v>
      </c>
      <c r="C198" t="s">
        <v>45</v>
      </c>
      <c r="D198" t="s">
        <v>35</v>
      </c>
      <c r="E198" t="s">
        <v>51</v>
      </c>
      <c r="F198" t="s">
        <v>19</v>
      </c>
      <c r="G198" t="s">
        <v>26</v>
      </c>
      <c r="H198" t="s">
        <v>21</v>
      </c>
      <c r="I198" t="s">
        <v>79</v>
      </c>
      <c r="J198" t="s">
        <v>23</v>
      </c>
      <c r="K198">
        <v>3701</v>
      </c>
      <c r="L198">
        <v>34.570091499999997</v>
      </c>
      <c r="M198">
        <v>176.08613066445309</v>
      </c>
      <c r="N198">
        <v>8.5905999746429304E-5</v>
      </c>
      <c r="O198" s="1" t="str">
        <f>HYPERLINK(".\sm_car_210927_2323\sm_car_210927_2323_197_Ca165TrN_MaZRR_ode23t_1.png","figure")</f>
        <v>figure</v>
      </c>
      <c r="P198" t="s">
        <v>15</v>
      </c>
    </row>
    <row r="199" spans="1:16" x14ac:dyDescent="0.25">
      <c r="A199">
        <v>198</v>
      </c>
      <c r="B199">
        <v>171</v>
      </c>
      <c r="C199" t="s">
        <v>45</v>
      </c>
      <c r="D199" t="s">
        <v>17</v>
      </c>
      <c r="E199" t="s">
        <v>74</v>
      </c>
      <c r="F199" t="s">
        <v>19</v>
      </c>
      <c r="G199" t="s">
        <v>26</v>
      </c>
      <c r="H199" t="s">
        <v>21</v>
      </c>
      <c r="I199" t="s">
        <v>79</v>
      </c>
      <c r="J199" t="s">
        <v>23</v>
      </c>
      <c r="K199">
        <v>4011</v>
      </c>
      <c r="L199">
        <v>91.202934400000004</v>
      </c>
      <c r="M199">
        <v>175.88052594960951</v>
      </c>
      <c r="N199">
        <v>-9.2120094061794926E-5</v>
      </c>
      <c r="O199" s="1" t="str">
        <f>HYPERLINK(".\sm_car_210927_2323\sm_car_210927_2323_198_Ca171TrN_MaZRR_ode23t_1.png","figure")</f>
        <v>figure</v>
      </c>
      <c r="P199" t="s">
        <v>15</v>
      </c>
    </row>
    <row r="200" spans="1:16" x14ac:dyDescent="0.25">
      <c r="A200">
        <v>199</v>
      </c>
      <c r="B200">
        <v>170</v>
      </c>
      <c r="C200" t="s">
        <v>45</v>
      </c>
      <c r="D200" t="s">
        <v>35</v>
      </c>
      <c r="E200" t="s">
        <v>51</v>
      </c>
      <c r="F200" t="s">
        <v>19</v>
      </c>
      <c r="G200" t="s">
        <v>20</v>
      </c>
      <c r="H200" t="s">
        <v>21</v>
      </c>
      <c r="I200" t="s">
        <v>80</v>
      </c>
      <c r="J200" t="s">
        <v>23</v>
      </c>
      <c r="K200">
        <v>5149</v>
      </c>
      <c r="L200">
        <v>32.654613500000004</v>
      </c>
      <c r="M200">
        <v>-14.041639420672546</v>
      </c>
      <c r="N200">
        <v>3.5170946141672169E-2</v>
      </c>
      <c r="O200" s="1" t="str">
        <f>HYPERLINK(".\sm_car_210927_2323\sm_car_210927_2323_199_Ca170TrN_MaCMP_ode23t_1.png","figure")</f>
        <v>figure</v>
      </c>
      <c r="P200" t="s">
        <v>15</v>
      </c>
    </row>
    <row r="201" spans="1:16" x14ac:dyDescent="0.25">
      <c r="A201">
        <v>200</v>
      </c>
      <c r="B201">
        <v>170</v>
      </c>
      <c r="C201" t="s">
        <v>45</v>
      </c>
      <c r="D201" t="s">
        <v>35</v>
      </c>
      <c r="E201" t="s">
        <v>51</v>
      </c>
      <c r="F201" t="s">
        <v>19</v>
      </c>
      <c r="G201" t="s">
        <v>20</v>
      </c>
      <c r="H201" t="s">
        <v>21</v>
      </c>
      <c r="I201" t="s">
        <v>81</v>
      </c>
      <c r="J201" t="s">
        <v>23</v>
      </c>
      <c r="K201">
        <v>1995</v>
      </c>
      <c r="L201">
        <v>20.7774331</v>
      </c>
      <c r="M201">
        <v>-14.040697542906226</v>
      </c>
      <c r="N201">
        <v>3.5249485378003396E-2</v>
      </c>
      <c r="O201" s="1" t="str">
        <f>HYPERLINK(".\sm_car_210927_2323\sm_car_210927_2323_200_Ca170TrN_MaCMF_ode23t_1.png","figure")</f>
        <v>figure</v>
      </c>
      <c r="P201" t="s">
        <v>15</v>
      </c>
    </row>
    <row r="202" spans="1:16" x14ac:dyDescent="0.25">
      <c r="A202">
        <v>201</v>
      </c>
      <c r="B202">
        <v>170</v>
      </c>
      <c r="C202" t="s">
        <v>45</v>
      </c>
      <c r="D202" t="s">
        <v>35</v>
      </c>
      <c r="E202" t="s">
        <v>51</v>
      </c>
      <c r="F202" t="s">
        <v>19</v>
      </c>
      <c r="G202" t="s">
        <v>20</v>
      </c>
      <c r="H202" t="s">
        <v>21</v>
      </c>
      <c r="I202" t="s">
        <v>82</v>
      </c>
      <c r="J202" t="s">
        <v>23</v>
      </c>
      <c r="K202">
        <v>4678</v>
      </c>
      <c r="L202">
        <v>76.281725499999993</v>
      </c>
      <c r="M202">
        <v>-329.43029578274036</v>
      </c>
      <c r="N202">
        <v>6.1166509816823735</v>
      </c>
      <c r="O202" s="1" t="str">
        <f>HYPERLINK(".\sm_car_210927_2323\sm_car_210927_2323_201_Ca170TrN_MaMPO_ode23t_1.png","figure")</f>
        <v>figure</v>
      </c>
      <c r="P202" t="s">
        <v>15</v>
      </c>
    </row>
    <row r="203" spans="1:16" x14ac:dyDescent="0.25">
      <c r="A203">
        <v>202</v>
      </c>
      <c r="B203">
        <v>170</v>
      </c>
      <c r="C203" t="s">
        <v>45</v>
      </c>
      <c r="D203" t="s">
        <v>35</v>
      </c>
      <c r="E203" t="s">
        <v>51</v>
      </c>
      <c r="F203" t="s">
        <v>19</v>
      </c>
      <c r="G203" t="s">
        <v>20</v>
      </c>
      <c r="H203" t="s">
        <v>21</v>
      </c>
      <c r="I203" t="s">
        <v>83</v>
      </c>
      <c r="J203" t="s">
        <v>23</v>
      </c>
      <c r="K203">
        <v>2783</v>
      </c>
      <c r="L203">
        <v>24.593952399999999</v>
      </c>
      <c r="M203">
        <v>-13.868421268070968</v>
      </c>
      <c r="N203">
        <v>0.22308448039146356</v>
      </c>
      <c r="O203" s="1" t="str">
        <f>HYPERLINK(".\sm_car_210927_2323\sm_car_210927_2323_202_Ca170TrN_MaMCI_ode23t_1.png","figure")</f>
        <v>figure</v>
      </c>
      <c r="P203" t="s">
        <v>15</v>
      </c>
    </row>
    <row r="204" spans="1:16" x14ac:dyDescent="0.25">
      <c r="A204">
        <v>203</v>
      </c>
      <c r="B204">
        <v>170</v>
      </c>
      <c r="C204" t="s">
        <v>45</v>
      </c>
      <c r="D204" t="s">
        <v>35</v>
      </c>
      <c r="E204" t="s">
        <v>51</v>
      </c>
      <c r="F204" t="s">
        <v>19</v>
      </c>
      <c r="G204" t="s">
        <v>20</v>
      </c>
      <c r="H204" t="s">
        <v>21</v>
      </c>
      <c r="I204" t="s">
        <v>84</v>
      </c>
      <c r="J204" t="s">
        <v>23</v>
      </c>
      <c r="K204">
        <v>14071</v>
      </c>
      <c r="L204">
        <v>111.2633771</v>
      </c>
      <c r="M204">
        <v>-17.989301184328777</v>
      </c>
      <c r="N204">
        <v>6.6953453043294878E-2</v>
      </c>
      <c r="O204" s="1" t="str">
        <f>HYPERLINK(".\sm_car_210927_2323\sm_car_210927_2323_203_Ca170TrN_MaCKY_ode23t_1.png","figure")</f>
        <v>figure</v>
      </c>
      <c r="P204" t="s">
        <v>15</v>
      </c>
    </row>
    <row r="205" spans="1:16" x14ac:dyDescent="0.25">
      <c r="A205">
        <v>204</v>
      </c>
      <c r="B205">
        <v>170</v>
      </c>
      <c r="C205" t="s">
        <v>45</v>
      </c>
      <c r="D205" t="s">
        <v>35</v>
      </c>
      <c r="E205" t="s">
        <v>51</v>
      </c>
      <c r="F205" t="s">
        <v>19</v>
      </c>
      <c r="G205" t="s">
        <v>20</v>
      </c>
      <c r="H205" t="s">
        <v>21</v>
      </c>
      <c r="I205" t="s">
        <v>85</v>
      </c>
      <c r="J205" t="s">
        <v>23</v>
      </c>
      <c r="K205">
        <v>4081</v>
      </c>
      <c r="L205">
        <v>45.387461700000003</v>
      </c>
      <c r="M205">
        <v>-18.002567334032776</v>
      </c>
      <c r="N205">
        <v>6.8101135171648397E-2</v>
      </c>
      <c r="O205" s="1" t="str">
        <f>HYPERLINK(".\sm_car_210927_2323\sm_car_210927_2323_204_Ca170TrN_MaCKF_ode23t_1.png","figure")</f>
        <v>figure</v>
      </c>
      <c r="P205" t="s">
        <v>15</v>
      </c>
    </row>
    <row r="206" spans="1:16" x14ac:dyDescent="0.25">
      <c r="A206">
        <v>205</v>
      </c>
      <c r="B206">
        <v>170</v>
      </c>
      <c r="C206" t="s">
        <v>45</v>
      </c>
      <c r="D206" t="s">
        <v>35</v>
      </c>
      <c r="E206" t="s">
        <v>51</v>
      </c>
      <c r="F206" t="s">
        <v>19</v>
      </c>
      <c r="G206" t="s">
        <v>20</v>
      </c>
      <c r="H206" t="s">
        <v>21</v>
      </c>
      <c r="I206" t="s">
        <v>86</v>
      </c>
      <c r="J206" t="s">
        <v>23</v>
      </c>
      <c r="K206">
        <v>87016</v>
      </c>
      <c r="L206">
        <v>854.67827680000005</v>
      </c>
      <c r="M206">
        <v>-24.800513024758985</v>
      </c>
      <c r="N206">
        <v>0.2131128138405497</v>
      </c>
      <c r="O206" s="1" t="str">
        <f>HYPERLINK(".\sm_car_210927_2323\sm_car_210927_2323_205_Ca170TrN_MaCNN_ode23t_1.png","figure")</f>
        <v>figure</v>
      </c>
      <c r="P206" t="s">
        <v>15</v>
      </c>
    </row>
    <row r="207" spans="1:16" x14ac:dyDescent="0.25">
      <c r="A207">
        <v>206</v>
      </c>
      <c r="B207">
        <v>170</v>
      </c>
      <c r="C207" t="s">
        <v>45</v>
      </c>
      <c r="D207" t="s">
        <v>35</v>
      </c>
      <c r="E207" t="s">
        <v>51</v>
      </c>
      <c r="F207" t="s">
        <v>19</v>
      </c>
      <c r="G207" t="s">
        <v>20</v>
      </c>
      <c r="H207" t="s">
        <v>21</v>
      </c>
      <c r="I207" t="s">
        <v>87</v>
      </c>
      <c r="J207" t="s">
        <v>23</v>
      </c>
      <c r="K207">
        <v>10222</v>
      </c>
      <c r="L207">
        <v>303.8793081</v>
      </c>
      <c r="M207">
        <v>-20.798074502562038</v>
      </c>
      <c r="N207">
        <v>0.22848615015105669</v>
      </c>
      <c r="O207" s="1" t="str">
        <f>HYPERLINK(".\sm_car_210927_2323\sm_car_210927_2323_206_Ca170TrN_MaCNF_ode23t_1.png","figure")</f>
        <v>figure</v>
      </c>
      <c r="P207" t="s">
        <v>15</v>
      </c>
    </row>
    <row r="208" spans="1:16" x14ac:dyDescent="0.25">
      <c r="A208">
        <v>207</v>
      </c>
      <c r="B208">
        <v>170</v>
      </c>
      <c r="C208" t="s">
        <v>45</v>
      </c>
      <c r="D208" t="s">
        <v>35</v>
      </c>
      <c r="E208" t="s">
        <v>51</v>
      </c>
      <c r="F208" t="s">
        <v>19</v>
      </c>
      <c r="G208" t="s">
        <v>20</v>
      </c>
      <c r="H208" t="s">
        <v>21</v>
      </c>
      <c r="I208" t="s">
        <v>88</v>
      </c>
      <c r="J208" t="s">
        <v>23</v>
      </c>
      <c r="K208">
        <v>25269</v>
      </c>
      <c r="L208">
        <v>253.41501049999999</v>
      </c>
      <c r="M208">
        <v>-17.927676291091309</v>
      </c>
      <c r="N208">
        <v>5.8006728653341055E-2</v>
      </c>
      <c r="O208" s="1" t="str">
        <f>HYPERLINK(".\sm_car_210927_2323\sm_car_210927_2323_207_Ca170TrN_MaCSZ_ode23t_1.png","figure")</f>
        <v>figure</v>
      </c>
      <c r="P208" t="s">
        <v>15</v>
      </c>
    </row>
    <row r="209" spans="1:16" x14ac:dyDescent="0.25">
      <c r="A209">
        <v>208</v>
      </c>
      <c r="B209">
        <v>170</v>
      </c>
      <c r="C209" t="s">
        <v>45</v>
      </c>
      <c r="D209" t="s">
        <v>35</v>
      </c>
      <c r="E209" t="s">
        <v>51</v>
      </c>
      <c r="F209" t="s">
        <v>19</v>
      </c>
      <c r="G209" t="s">
        <v>20</v>
      </c>
      <c r="H209" t="s">
        <v>21</v>
      </c>
      <c r="I209" t="s">
        <v>89</v>
      </c>
      <c r="J209" t="s">
        <v>23</v>
      </c>
      <c r="K209">
        <v>6007</v>
      </c>
      <c r="L209">
        <v>175.85186870000001</v>
      </c>
      <c r="M209">
        <v>-17.936794934581123</v>
      </c>
      <c r="N209">
        <v>5.8262749953727218E-2</v>
      </c>
      <c r="O209" s="1" t="str">
        <f>HYPERLINK(".\sm_car_210927_2323\sm_car_210927_2323_208_Ca170TrN_MaCSF_ode23t_1.png","figure")</f>
        <v>figure</v>
      </c>
      <c r="P209" t="s">
        <v>15</v>
      </c>
    </row>
    <row r="210" spans="1:16" x14ac:dyDescent="0.25">
      <c r="A210">
        <v>209</v>
      </c>
      <c r="B210">
        <v>170</v>
      </c>
      <c r="C210" t="s">
        <v>45</v>
      </c>
      <c r="D210" t="s">
        <v>35</v>
      </c>
      <c r="E210" t="s">
        <v>51</v>
      </c>
      <c r="F210" t="s">
        <v>19</v>
      </c>
      <c r="G210" t="s">
        <v>20</v>
      </c>
      <c r="H210" t="s">
        <v>21</v>
      </c>
      <c r="I210" t="s">
        <v>90</v>
      </c>
      <c r="J210" t="s">
        <v>23</v>
      </c>
      <c r="K210">
        <v>117485</v>
      </c>
      <c r="L210">
        <v>1269.3906076999999</v>
      </c>
      <c r="M210">
        <v>1385.8465886709876</v>
      </c>
      <c r="N210">
        <v>8850.6230666244119</v>
      </c>
      <c r="O210" s="1" t="str">
        <f>HYPERLINK(".\sm_car_210927_2323\sm_car_210927_2323_209_Ca170TrN_MaCPU_ode23t_1.png","figure")</f>
        <v>figure</v>
      </c>
      <c r="P210" t="s">
        <v>15</v>
      </c>
    </row>
    <row r="211" spans="1:16" x14ac:dyDescent="0.25">
      <c r="A211">
        <v>210</v>
      </c>
      <c r="B211">
        <v>170</v>
      </c>
      <c r="C211" t="s">
        <v>45</v>
      </c>
      <c r="D211" t="s">
        <v>35</v>
      </c>
      <c r="E211" t="s">
        <v>51</v>
      </c>
      <c r="F211" t="s">
        <v>19</v>
      </c>
      <c r="G211" t="s">
        <v>20</v>
      </c>
      <c r="H211" t="s">
        <v>21</v>
      </c>
      <c r="I211" t="s">
        <v>91</v>
      </c>
      <c r="J211" t="s">
        <v>23</v>
      </c>
      <c r="K211">
        <v>120749</v>
      </c>
      <c r="L211">
        <v>1388.7232351</v>
      </c>
      <c r="M211">
        <v>-1196.4425668977194</v>
      </c>
      <c r="N211">
        <v>-9005.9336152928263</v>
      </c>
      <c r="O211" s="1" t="str">
        <f>HYPERLINK(".\sm_car_210927_2323\sm_car_210927_2323_210_Ca170TrN_MaCPD_ode23t_1.png","figure")</f>
        <v>figure</v>
      </c>
      <c r="P211" t="s">
        <v>15</v>
      </c>
    </row>
    <row r="212" spans="1:16" x14ac:dyDescent="0.25">
      <c r="A212">
        <v>211</v>
      </c>
      <c r="B212">
        <v>173</v>
      </c>
      <c r="C212" t="s">
        <v>45</v>
      </c>
      <c r="D212" t="s">
        <v>35</v>
      </c>
      <c r="E212" t="s">
        <v>51</v>
      </c>
      <c r="F212" t="s">
        <v>19</v>
      </c>
      <c r="G212" t="s">
        <v>92</v>
      </c>
      <c r="H212" t="s">
        <v>21</v>
      </c>
      <c r="I212" t="s">
        <v>93</v>
      </c>
      <c r="J212" t="s">
        <v>94</v>
      </c>
      <c r="K212">
        <v>12507</v>
      </c>
      <c r="L212">
        <v>852.56778380000003</v>
      </c>
      <c r="M212">
        <v>8832.6859314735648</v>
      </c>
      <c r="N212">
        <v>40.678917345385386</v>
      </c>
      <c r="O212" s="1" t="str">
        <f>HYPERLINK(".\sm_car_210927_2323\sm_car_210927_2323_211_Ca173TrN_MaDCA_daessc_1.png","figure")</f>
        <v>figure</v>
      </c>
      <c r="P212" t="s">
        <v>15</v>
      </c>
    </row>
    <row r="213" spans="1:16" x14ac:dyDescent="0.25">
      <c r="A213">
        <v>212</v>
      </c>
      <c r="B213">
        <v>173</v>
      </c>
      <c r="C213" t="s">
        <v>45</v>
      </c>
      <c r="D213" t="s">
        <v>35</v>
      </c>
      <c r="E213" t="s">
        <v>51</v>
      </c>
      <c r="F213" t="s">
        <v>19</v>
      </c>
      <c r="G213" t="s">
        <v>92</v>
      </c>
      <c r="H213" t="s">
        <v>21</v>
      </c>
      <c r="I213" t="s">
        <v>95</v>
      </c>
      <c r="J213" t="s">
        <v>94</v>
      </c>
      <c r="K213">
        <v>2965</v>
      </c>
      <c r="L213">
        <v>219.5119368</v>
      </c>
      <c r="M213">
        <v>980.53280413184666</v>
      </c>
      <c r="N213">
        <v>0.72251467004401304</v>
      </c>
      <c r="O213" s="1" t="str">
        <f>HYPERLINK(".\sm_car_210927_2323\sm_car_210927_2323_212_Ca173TrN_MaDC1_daessc_1.png","figure")</f>
        <v>figure</v>
      </c>
      <c r="P213" t="s">
        <v>15</v>
      </c>
    </row>
    <row r="214" spans="1:16" x14ac:dyDescent="0.25">
      <c r="A214">
        <v>213</v>
      </c>
      <c r="B214">
        <v>165</v>
      </c>
      <c r="C214" t="s">
        <v>45</v>
      </c>
      <c r="D214" t="s">
        <v>35</v>
      </c>
      <c r="E214" t="s">
        <v>51</v>
      </c>
      <c r="F214" t="s">
        <v>19</v>
      </c>
      <c r="G214" t="s">
        <v>26</v>
      </c>
      <c r="H214" t="s">
        <v>21</v>
      </c>
      <c r="I214" t="s">
        <v>93</v>
      </c>
      <c r="J214" t="s">
        <v>23</v>
      </c>
      <c r="K214">
        <v>4618</v>
      </c>
      <c r="L214">
        <v>60.807265200000003</v>
      </c>
      <c r="M214">
        <v>8905.1906836883682</v>
      </c>
      <c r="N214">
        <v>42.801834955625679</v>
      </c>
      <c r="O214" s="1" t="str">
        <f>HYPERLINK(".\sm_car_210927_2323\sm_car_210927_2323_213_Ca165TrN_MaDCA_ode23t_1.png","figure")</f>
        <v>figure</v>
      </c>
      <c r="P214" t="s">
        <v>15</v>
      </c>
    </row>
    <row r="215" spans="1:16" x14ac:dyDescent="0.25">
      <c r="A215">
        <v>214</v>
      </c>
      <c r="B215">
        <v>165</v>
      </c>
      <c r="C215" t="s">
        <v>45</v>
      </c>
      <c r="D215" t="s">
        <v>35</v>
      </c>
      <c r="E215" t="s">
        <v>51</v>
      </c>
      <c r="F215" t="s">
        <v>19</v>
      </c>
      <c r="G215" t="s">
        <v>26</v>
      </c>
      <c r="H215" t="s">
        <v>21</v>
      </c>
      <c r="I215" t="s">
        <v>95</v>
      </c>
      <c r="J215" t="s">
        <v>23</v>
      </c>
      <c r="K215">
        <v>1134</v>
      </c>
      <c r="L215">
        <v>13.2510888</v>
      </c>
      <c r="M215">
        <v>992.65531916483553</v>
      </c>
      <c r="N215">
        <v>0.63975536602036631</v>
      </c>
      <c r="O215" s="1" t="str">
        <f>HYPERLINK(".\sm_car_210927_2323\sm_car_210927_2323_214_Ca165TrN_MaDC1_ode23t_1.png","figure")</f>
        <v>figure</v>
      </c>
      <c r="P215" t="s">
        <v>15</v>
      </c>
    </row>
    <row r="216" spans="1:16" x14ac:dyDescent="0.25">
      <c r="A216">
        <v>215</v>
      </c>
      <c r="B216">
        <v>173</v>
      </c>
      <c r="C216" t="s">
        <v>45</v>
      </c>
      <c r="D216" t="s">
        <v>35</v>
      </c>
      <c r="E216" t="s">
        <v>51</v>
      </c>
      <c r="F216" t="s">
        <v>19</v>
      </c>
      <c r="G216" t="s">
        <v>92</v>
      </c>
      <c r="H216" t="s">
        <v>21</v>
      </c>
      <c r="I216" t="s">
        <v>77</v>
      </c>
      <c r="J216" t="s">
        <v>94</v>
      </c>
      <c r="K216">
        <v>3885</v>
      </c>
      <c r="L216">
        <v>221.63217030000001</v>
      </c>
      <c r="M216">
        <v>357.94490890301762</v>
      </c>
      <c r="N216">
        <v>0.27446849331390011</v>
      </c>
      <c r="O216" s="1" t="str">
        <f>HYPERLINK(".\sm_car_210927_2323\sm_car_210927_2323_215_Ca173TrN_MaCPL_daessc_1.png","figure")</f>
        <v>figure</v>
      </c>
      <c r="P216" t="s">
        <v>15</v>
      </c>
    </row>
    <row r="217" spans="1:16" x14ac:dyDescent="0.25">
      <c r="A217">
        <v>216</v>
      </c>
      <c r="B217">
        <v>179</v>
      </c>
      <c r="C217" t="s">
        <v>45</v>
      </c>
      <c r="D217" t="s">
        <v>59</v>
      </c>
      <c r="E217" t="s">
        <v>18</v>
      </c>
      <c r="F217" t="s">
        <v>19</v>
      </c>
      <c r="G217" t="s">
        <v>26</v>
      </c>
      <c r="H217" t="s">
        <v>21</v>
      </c>
      <c r="I217" t="s">
        <v>22</v>
      </c>
      <c r="J217" t="s">
        <v>23</v>
      </c>
      <c r="K217">
        <v>480</v>
      </c>
      <c r="L217">
        <v>8.0772904000000008</v>
      </c>
      <c r="M217">
        <v>147.84914137944904</v>
      </c>
      <c r="N217">
        <v>9.4243172457135441E-2</v>
      </c>
      <c r="O217" s="1" t="str">
        <f>HYPERLINK(".\sm_car_210927_2323\sm_car_210927_2323_216_Ca179TrN_MaWOT_ode23t_1.png","figure")</f>
        <v>figure</v>
      </c>
      <c r="P217" t="s">
        <v>15</v>
      </c>
    </row>
    <row r="218" spans="1:16" x14ac:dyDescent="0.25">
      <c r="A218">
        <v>217</v>
      </c>
      <c r="B218">
        <v>180</v>
      </c>
      <c r="C218" t="s">
        <v>45</v>
      </c>
      <c r="D218" t="s">
        <v>59</v>
      </c>
      <c r="E218" t="s">
        <v>51</v>
      </c>
      <c r="F218" t="s">
        <v>19</v>
      </c>
      <c r="G218" t="s">
        <v>26</v>
      </c>
      <c r="H218" t="s">
        <v>21</v>
      </c>
      <c r="I218" t="s">
        <v>22</v>
      </c>
      <c r="J218" t="s">
        <v>23</v>
      </c>
      <c r="K218">
        <v>485</v>
      </c>
      <c r="L218">
        <v>10.777325899999999</v>
      </c>
      <c r="M218">
        <v>147.83155332626143</v>
      </c>
      <c r="N218">
        <v>9.4421636882125723E-2</v>
      </c>
      <c r="O218" s="1" t="str">
        <f>HYPERLINK(".\sm_car_210927_2323\sm_car_210927_2323_217_Ca180TrN_MaWOT_ode23t_1.png","figure")</f>
        <v>figure</v>
      </c>
      <c r="P218" t="s">
        <v>15</v>
      </c>
    </row>
    <row r="219" spans="1:16" x14ac:dyDescent="0.25">
      <c r="A219">
        <v>218</v>
      </c>
      <c r="B219">
        <v>182</v>
      </c>
      <c r="C219" t="s">
        <v>45</v>
      </c>
      <c r="D219" t="s">
        <v>17</v>
      </c>
      <c r="E219" t="s">
        <v>51</v>
      </c>
      <c r="F219" t="s">
        <v>19</v>
      </c>
      <c r="G219" t="s">
        <v>26</v>
      </c>
      <c r="H219" t="s">
        <v>21</v>
      </c>
      <c r="I219" t="s">
        <v>66</v>
      </c>
      <c r="J219" t="s">
        <v>23</v>
      </c>
      <c r="K219">
        <v>475</v>
      </c>
      <c r="L219">
        <v>16.839798300000002</v>
      </c>
      <c r="M219">
        <v>63.466220382549935</v>
      </c>
      <c r="N219">
        <v>-25.401011348661356</v>
      </c>
      <c r="O219" s="1" t="str">
        <f>HYPERLINK(".\sm_car_210927_2323\sm_car_210927_2323_218_Ca182TrN_MaTUR_ode23t_1.png","figure")</f>
        <v>figure</v>
      </c>
      <c r="P219" t="s">
        <v>15</v>
      </c>
    </row>
    <row r="220" spans="1:16" x14ac:dyDescent="0.25">
      <c r="A220">
        <v>219</v>
      </c>
      <c r="B220">
        <v>185</v>
      </c>
      <c r="C220" t="s">
        <v>45</v>
      </c>
      <c r="D220" t="s">
        <v>17</v>
      </c>
      <c r="E220" t="s">
        <v>18</v>
      </c>
      <c r="F220" t="s">
        <v>19</v>
      </c>
      <c r="G220" t="s">
        <v>26</v>
      </c>
      <c r="H220" t="s">
        <v>21</v>
      </c>
      <c r="I220" t="s">
        <v>66</v>
      </c>
      <c r="J220" t="s">
        <v>23</v>
      </c>
      <c r="K220">
        <v>649</v>
      </c>
      <c r="L220">
        <v>32.051299700000001</v>
      </c>
      <c r="M220">
        <v>40.696938711264444</v>
      </c>
      <c r="N220">
        <v>-82.269767556350715</v>
      </c>
      <c r="O220" s="1" t="str">
        <f>HYPERLINK(".\sm_car_210927_2323\sm_car_210927_2323_219_Ca185TrN_MaTUR_ode23t_1.png","figure")</f>
        <v>figure</v>
      </c>
      <c r="P220" t="s">
        <v>15</v>
      </c>
    </row>
    <row r="221" spans="1:16" x14ac:dyDescent="0.25">
      <c r="A221">
        <v>220</v>
      </c>
      <c r="B221">
        <v>188</v>
      </c>
      <c r="C221" t="s">
        <v>45</v>
      </c>
      <c r="D221" t="s">
        <v>96</v>
      </c>
      <c r="E221" t="s">
        <v>51</v>
      </c>
      <c r="F221" t="s">
        <v>19</v>
      </c>
      <c r="G221" t="s">
        <v>26</v>
      </c>
      <c r="H221" t="s">
        <v>21</v>
      </c>
      <c r="I221" t="s">
        <v>66</v>
      </c>
      <c r="J221" t="s">
        <v>23</v>
      </c>
      <c r="K221">
        <v>841</v>
      </c>
      <c r="L221">
        <v>26.374649399999999</v>
      </c>
      <c r="M221">
        <v>61.671338894497708</v>
      </c>
      <c r="N221">
        <v>-93.886351432397419</v>
      </c>
      <c r="O221" s="1" t="str">
        <f>HYPERLINK(".\sm_car_210927_2323\sm_car_210927_2323_220_Ca188TrN_MaTUR_ode23t_1.png","figure")</f>
        <v>figure</v>
      </c>
      <c r="P221" t="s">
        <v>15</v>
      </c>
    </row>
    <row r="222" spans="1:16" x14ac:dyDescent="0.25">
      <c r="A222">
        <v>221</v>
      </c>
      <c r="B222" t="s">
        <v>97</v>
      </c>
      <c r="C222" t="s">
        <v>98</v>
      </c>
      <c r="D222" t="s">
        <v>35</v>
      </c>
      <c r="E222" t="s">
        <v>18</v>
      </c>
      <c r="F222" t="s">
        <v>19</v>
      </c>
      <c r="G222" t="s">
        <v>99</v>
      </c>
      <c r="H222" t="s">
        <v>21</v>
      </c>
      <c r="I222" t="s">
        <v>22</v>
      </c>
      <c r="J222" t="s">
        <v>23</v>
      </c>
      <c r="K222">
        <v>449</v>
      </c>
      <c r="L222">
        <v>44.004065900000001</v>
      </c>
      <c r="M222">
        <v>79.166362142668831</v>
      </c>
      <c r="N222">
        <v>-0.33364396022365472</v>
      </c>
      <c r="O222" s="1" t="str">
        <f>HYPERLINK(".\sm_car_210927_2323\sm_car_Axle3_210927_2323_221_CaAxle3_000TrN_MaWOT_ode23t_1.png","figure")</f>
        <v>figure</v>
      </c>
      <c r="P222" t="s">
        <v>15</v>
      </c>
    </row>
    <row r="223" spans="1:16" x14ac:dyDescent="0.25">
      <c r="A223">
        <v>222</v>
      </c>
      <c r="B223" t="s">
        <v>100</v>
      </c>
      <c r="C223" t="s">
        <v>101</v>
      </c>
      <c r="D223" t="s">
        <v>35</v>
      </c>
      <c r="E223" t="s">
        <v>18</v>
      </c>
      <c r="F223" t="s">
        <v>19</v>
      </c>
      <c r="G223" t="s">
        <v>99</v>
      </c>
      <c r="H223" t="s">
        <v>21</v>
      </c>
      <c r="I223" t="s">
        <v>22</v>
      </c>
      <c r="J223" t="s">
        <v>23</v>
      </c>
      <c r="K223">
        <v>482</v>
      </c>
      <c r="L223">
        <v>19.042587300000001</v>
      </c>
      <c r="M223">
        <v>69.101222723740165</v>
      </c>
      <c r="N223">
        <v>8.3905764565709098E-2</v>
      </c>
      <c r="O223" s="1" t="str">
        <f>HYPERLINK(".\sm_car_210927_2323\sm_car_Axle3_210927_2323_222_CaAxle3_008TrN_MaWOT_ode23t_1.png","figure")</f>
        <v>figure</v>
      </c>
      <c r="P223" t="s">
        <v>15</v>
      </c>
    </row>
    <row r="224" spans="1:16" x14ac:dyDescent="0.25">
      <c r="A224">
        <v>223</v>
      </c>
      <c r="B224" t="s">
        <v>102</v>
      </c>
      <c r="C224" t="s">
        <v>98</v>
      </c>
      <c r="D224" t="s">
        <v>35</v>
      </c>
      <c r="E224" t="s">
        <v>51</v>
      </c>
      <c r="F224" t="s">
        <v>19</v>
      </c>
      <c r="G224" t="s">
        <v>103</v>
      </c>
      <c r="H224" t="s">
        <v>21</v>
      </c>
      <c r="I224" t="s">
        <v>22</v>
      </c>
      <c r="J224" t="s">
        <v>23</v>
      </c>
      <c r="K224">
        <v>423</v>
      </c>
      <c r="L224">
        <v>17.0882042</v>
      </c>
      <c r="M224">
        <v>79.218174217433855</v>
      </c>
      <c r="N224">
        <v>-0.31292221926224811</v>
      </c>
      <c r="O224" s="1" t="str">
        <f>HYPERLINK(".\sm_car_210927_2323\sm_car_Axle3_210927_2323_223_CaAxle3_003TrN_MaWOT_ode23t_1.png","figure")</f>
        <v>figure</v>
      </c>
      <c r="P224" t="s">
        <v>15</v>
      </c>
    </row>
    <row r="225" spans="1:16" x14ac:dyDescent="0.25">
      <c r="A225">
        <v>224</v>
      </c>
      <c r="B225" t="s">
        <v>104</v>
      </c>
      <c r="C225" t="s">
        <v>101</v>
      </c>
      <c r="D225" t="s">
        <v>35</v>
      </c>
      <c r="E225" t="s">
        <v>51</v>
      </c>
      <c r="F225" t="s">
        <v>19</v>
      </c>
      <c r="G225" t="s">
        <v>99</v>
      </c>
      <c r="H225" t="s">
        <v>105</v>
      </c>
      <c r="I225" t="s">
        <v>22</v>
      </c>
      <c r="J225" t="s">
        <v>23</v>
      </c>
      <c r="K225">
        <v>393</v>
      </c>
      <c r="L225">
        <v>40.335398400000003</v>
      </c>
      <c r="M225">
        <v>23.443293999264171</v>
      </c>
      <c r="N225">
        <v>2.5330636172319621E-3</v>
      </c>
      <c r="O225" s="1" t="str">
        <f>HYPERLINK(".\sm_car_210927_2323\sm_car_Axle3_210927_2323_224_CaAxle3_010TrK_MaWOT_ode23t_1.png","figure")</f>
        <v>figure</v>
      </c>
      <c r="P225" t="s">
        <v>15</v>
      </c>
    </row>
    <row r="226" spans="1:16" x14ac:dyDescent="0.25">
      <c r="A226">
        <v>225</v>
      </c>
      <c r="B226" t="s">
        <v>104</v>
      </c>
      <c r="C226" t="s">
        <v>101</v>
      </c>
      <c r="D226" t="s">
        <v>35</v>
      </c>
      <c r="E226" t="s">
        <v>51</v>
      </c>
      <c r="F226" t="s">
        <v>19</v>
      </c>
      <c r="G226" t="s">
        <v>99</v>
      </c>
      <c r="H226" t="s">
        <v>105</v>
      </c>
      <c r="I226" t="s">
        <v>22</v>
      </c>
      <c r="J226" t="s">
        <v>23</v>
      </c>
      <c r="K226">
        <v>390</v>
      </c>
      <c r="L226">
        <v>41.012712800000003</v>
      </c>
      <c r="M226">
        <v>23.426758644171805</v>
      </c>
      <c r="N226">
        <v>2.5266966748875019E-3</v>
      </c>
      <c r="O226" s="1" t="str">
        <f>HYPERLINK(".\sm_car_210927_2323\sm_car_Axle3_210927_2323_225_CaAxle3_010TrK_MaWOT_ode23t_1.png","figure")</f>
        <v>figure</v>
      </c>
      <c r="P226" t="s">
        <v>15</v>
      </c>
    </row>
    <row r="227" spans="1:16" x14ac:dyDescent="0.25">
      <c r="A227">
        <v>226</v>
      </c>
      <c r="B227" t="s">
        <v>106</v>
      </c>
      <c r="C227" t="s">
        <v>101</v>
      </c>
      <c r="D227" t="s">
        <v>35</v>
      </c>
      <c r="E227" t="s">
        <v>18</v>
      </c>
      <c r="F227" t="s">
        <v>19</v>
      </c>
      <c r="G227" t="s">
        <v>107</v>
      </c>
      <c r="H227" t="s">
        <v>105</v>
      </c>
      <c r="I227" t="s">
        <v>55</v>
      </c>
      <c r="J227" t="s">
        <v>23</v>
      </c>
      <c r="K227">
        <v>759</v>
      </c>
      <c r="L227">
        <v>29.140993999999999</v>
      </c>
      <c r="M227">
        <v>262.42896648817202</v>
      </c>
      <c r="N227">
        <v>-0.10310787797577836</v>
      </c>
      <c r="O227" s="1" t="str">
        <f>HYPERLINK(".\sm_car_210927_2323\sm_car_Axle3_210927_2323_226_CaAxle3_012TrK_MaDLC_ode23t_1.png","figure")</f>
        <v>figure</v>
      </c>
      <c r="P227" t="s">
        <v>15</v>
      </c>
    </row>
    <row r="228" spans="1:16" x14ac:dyDescent="0.25">
      <c r="A228">
        <v>227</v>
      </c>
      <c r="B228" t="s">
        <v>106</v>
      </c>
      <c r="C228" t="s">
        <v>101</v>
      </c>
      <c r="D228" t="s">
        <v>35</v>
      </c>
      <c r="E228" t="s">
        <v>18</v>
      </c>
      <c r="F228" t="s">
        <v>19</v>
      </c>
      <c r="G228" t="s">
        <v>107</v>
      </c>
      <c r="H228" t="s">
        <v>105</v>
      </c>
      <c r="I228" t="s">
        <v>55</v>
      </c>
      <c r="J228" t="s">
        <v>23</v>
      </c>
      <c r="K228">
        <v>849</v>
      </c>
      <c r="L228">
        <v>32.920157500000002</v>
      </c>
      <c r="M228">
        <v>262.41174090884732</v>
      </c>
      <c r="N228">
        <v>-0.10004354123265324</v>
      </c>
      <c r="O228" s="1" t="str">
        <f>HYPERLINK(".\sm_car_210927_2323\sm_car_Axle3_210927_2323_227_CaAxle3_012TrK_MaDLC_ode23t_1.png","figure")</f>
        <v>figure</v>
      </c>
      <c r="P228" t="s">
        <v>15</v>
      </c>
    </row>
    <row r="229" spans="1:16" x14ac:dyDescent="0.25">
      <c r="A229">
        <v>228</v>
      </c>
      <c r="B229" t="s">
        <v>106</v>
      </c>
      <c r="C229" t="s">
        <v>101</v>
      </c>
      <c r="D229" t="s">
        <v>35</v>
      </c>
      <c r="E229" t="s">
        <v>18</v>
      </c>
      <c r="F229" t="s">
        <v>19</v>
      </c>
      <c r="G229" t="s">
        <v>107</v>
      </c>
      <c r="H229" t="s">
        <v>105</v>
      </c>
      <c r="I229" t="s">
        <v>55</v>
      </c>
      <c r="J229" t="s">
        <v>23</v>
      </c>
      <c r="K229">
        <v>742</v>
      </c>
      <c r="L229">
        <v>28.883048299999999</v>
      </c>
      <c r="M229">
        <v>264.07500683968243</v>
      </c>
      <c r="N229">
        <v>-9.8808859625751033E-2</v>
      </c>
      <c r="O229" s="1" t="str">
        <f>HYPERLINK(".\sm_car_210927_2323\sm_car_Axle3_210927_2323_228_CaAxle3_012TrK_MaDLC_ode23t_1.png","figure")</f>
        <v>figure</v>
      </c>
      <c r="P229" t="s">
        <v>15</v>
      </c>
    </row>
    <row r="230" spans="1:16" x14ac:dyDescent="0.25">
      <c r="A230">
        <v>229</v>
      </c>
      <c r="B230" t="s">
        <v>106</v>
      </c>
      <c r="C230" t="s">
        <v>101</v>
      </c>
      <c r="D230" t="s">
        <v>35</v>
      </c>
      <c r="E230" t="s">
        <v>18</v>
      </c>
      <c r="F230" t="s">
        <v>19</v>
      </c>
      <c r="G230" t="s">
        <v>107</v>
      </c>
      <c r="H230" t="s">
        <v>105</v>
      </c>
      <c r="I230" t="s">
        <v>55</v>
      </c>
      <c r="J230" t="s">
        <v>23</v>
      </c>
      <c r="K230">
        <v>1027</v>
      </c>
      <c r="L230">
        <v>34.474009500000001</v>
      </c>
      <c r="M230">
        <v>264.04790203431901</v>
      </c>
      <c r="N230">
        <v>-9.8656639107910227E-2</v>
      </c>
      <c r="O230" s="1" t="str">
        <f>HYPERLINK(".\sm_car_210927_2323\sm_car_Axle3_210927_2323_229_CaAxle3_012TrK_MaDLC_ode23t_1.png","figure")</f>
        <v>figure</v>
      </c>
      <c r="P230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2020a_210927_2323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2020-05-28T11:17:57Z</dcterms:created>
  <dcterms:modified xsi:type="dcterms:W3CDTF">2021-09-28T04:57:04Z</dcterms:modified>
</cp:coreProperties>
</file>