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2910" windowWidth="15315" windowHeight="9690"/>
  </bookViews>
  <sheets>
    <sheet name="Current Bitcoin" sheetId="1" r:id="rId1"/>
    <sheet name="Near-future Bitcoin" sheetId="3" r:id="rId2"/>
    <sheet name="Farther Future Bitcoin" sheetId="2" r:id="rId3"/>
  </sheets>
  <definedNames>
    <definedName name="assumevalidBlockTime">'Current Bitcoin'!$C$26</definedName>
    <definedName name="assumevalidSpeedup">'Current Bitcoin'!$B$26</definedName>
    <definedName name="averageRelayTps">'Current Bitcoin'!#REF!</definedName>
    <definedName name="avgBandwidth1">'Current Bitcoin'!#REF!</definedName>
    <definedName name="avgBandwidth10p">'Current Bitcoin'!$D$14</definedName>
    <definedName name="avgBandwidth10pf">'Farther Future Bitcoin'!$D$17</definedName>
    <definedName name="avgBandwidth15">'Farther Future Bitcoin'!#REF!</definedName>
    <definedName name="avgBandwidth16">'Farther Future Bitcoin'!#REF!</definedName>
    <definedName name="avgBandwidth1pf">'Farther Future Bitcoin'!$D$16</definedName>
    <definedName name="avgBandwidth8">'Current Bitcoin'!#REF!</definedName>
    <definedName name="avgBandwidth8p9">'Current Bitcoin'!#REF!</definedName>
    <definedName name="avgBandwidth90p">'Current Bitcoin'!$D$15</definedName>
    <definedName name="avgBandwidth90pf">'Farther Future Bitcoin'!$D$18</definedName>
    <definedName name="avgHops">'Current Bitcoin'!$E$313</definedName>
    <definedName name="avgHops19">'Current Bitcoin'!$C$353</definedName>
    <definedName name="avgHops20">'Farther Future Bitcoin'!$I$189</definedName>
    <definedName name="avgLatencyPerHop">'Current Bitcoin'!#REF!</definedName>
    <definedName name="avgLowRelayBandwidth">'Farther Future Bitcoin'!$J$189</definedName>
    <definedName name="avgLowRelayVerification">'Farther Future Bitcoin'!$K$189</definedName>
    <definedName name="avgMerkleProofSizeEndGame">'Farther Future Bitcoin'!#REF!</definedName>
    <definedName name="avgRelayBandwidth">'Current Bitcoin'!$F$313</definedName>
    <definedName name="avgRelayBandwidth20">'Farther Future Bitcoin'!#REF!</definedName>
    <definedName name="avgRelayValidationSpeed">'Current Bitcoin'!$G$313</definedName>
    <definedName name="avgSyncBandwidth10p">'Current Bitcoin'!$E$14</definedName>
    <definedName name="avgSyncBandwidth10pf">'Farther Future Bitcoin'!$E$17</definedName>
    <definedName name="avgSyncBandwidth1pf">'Farther Future Bitcoin'!$E$16</definedName>
    <definedName name="avgSyncBandwidth90p">'Current Bitcoin'!$E$15</definedName>
    <definedName name="avgSyncBandwidth90pf">'Farther Future Bitcoin'!$E$18</definedName>
    <definedName name="avgTrSize">'Current Bitcoin'!$A$26</definedName>
    <definedName name="bandwidth1">'Current Bitcoin'!#REF!</definedName>
    <definedName name="bandwidth10">'Near-future Bitcoin'!#REF!</definedName>
    <definedName name="bandwidth10p">'Current Bitcoin'!$B$14</definedName>
    <definedName name="bandwidth10pf">'Farther Future Bitcoin'!$B$17</definedName>
    <definedName name="Bandwidth10thP2">'Farther Future Bitcoin'!#REF!</definedName>
    <definedName name="bandwidth13">'Farther Future Bitcoin'!#REF!</definedName>
    <definedName name="bandwidth15">'Farther Future Bitcoin'!#REF!</definedName>
    <definedName name="bandwidth16">'Farther Future Bitcoin'!#REF!</definedName>
    <definedName name="bandwidth1pf">'Farther Future Bitcoin'!$B$16</definedName>
    <definedName name="bandwidth2">'Current Bitcoin'!#REF!</definedName>
    <definedName name="bandwidth3">'Current Bitcoin'!$B$105</definedName>
    <definedName name="bandwidth4">'Farther Future Bitcoin'!#REF!</definedName>
    <definedName name="bandwidth8">'Current Bitcoin'!#REF!</definedName>
    <definedName name="bandwidth8p9">'Current Bitcoin'!#REF!</definedName>
    <definedName name="bandwidth9">'Near-future Bitcoin'!#REF!</definedName>
    <definedName name="bandwidth90p">'Current Bitcoin'!$B$15</definedName>
    <definedName name="bandwidth90pf">'Farther Future Bitcoin'!$B$18</definedName>
    <definedName name="Bandwidth90thP1">'Current Bitcoin'!#REF!</definedName>
    <definedName name="bandwidthGrowth">'Current Bitcoin'!$B$16</definedName>
    <definedName name="compactBlockCompactedness">'Current Bitcoin'!$C$35</definedName>
    <definedName name="cpuGrowth">'Current Bitcoin'!$H$16</definedName>
    <definedName name="curChainSize">'Current Bitcoin'!$B$30</definedName>
    <definedName name="curMaxBlocksize">'Current Bitcoin'!$C$30</definedName>
    <definedName name="curUsers">'Current Bitcoin'!$F$30</definedName>
    <definedName name="disk1">'Current Bitcoin'!#REF!</definedName>
    <definedName name="disk10p">'Current Bitcoin'!$F$14</definedName>
    <definedName name="disk10pf">'Farther Future Bitcoin'!$F$17</definedName>
    <definedName name="disk1pf">'Farther Future Bitcoin'!$F$16</definedName>
    <definedName name="disk2">'Current Bitcoin'!#REF!</definedName>
    <definedName name="disk3">'Current Bitcoin'!$E$105</definedName>
    <definedName name="disk6">'Current Bitcoin'!#REF!</definedName>
    <definedName name="disk7">'Current Bitcoin'!#REF!</definedName>
    <definedName name="disk90p">'Current Bitcoin'!$F$15</definedName>
    <definedName name="disk90pf">'Farther Future Bitcoin'!$F$18</definedName>
    <definedName name="diskGrowth">'Current Bitcoin'!$F$16</definedName>
    <definedName name="endGameEmergencyUsage">'Farther Future Bitcoin'!$H$29</definedName>
    <definedName name="endGameTransactionSize">'Farther Future Bitcoin'!$A$29</definedName>
    <definedName name="endGameUsers">'Farther Future Bitcoin'!$C$29</definedName>
    <definedName name="futureUsers">'Farther Future Bitcoin'!$B$189</definedName>
    <definedName name="historicalResourcePercent10">'Near-future Bitcoin'!#REF!</definedName>
    <definedName name="historicalResourcePercent12">'Near-future Bitcoin'!#REF!</definedName>
    <definedName name="historicalResourcePercent13">'Farther Future Bitcoin'!#REF!</definedName>
    <definedName name="historicalResourcePercent14">'Farther Future Bitcoin'!#REF!</definedName>
    <definedName name="historicalSyncTime10">'Near-future Bitcoin'!#REF!</definedName>
    <definedName name="historicalSyncTime10pf">'Farther Future Bitcoin'!$M$17</definedName>
    <definedName name="historicalSyncTime12">'Near-future Bitcoin'!#REF!</definedName>
    <definedName name="historicalSyncTime13">'Farther Future Bitcoin'!#REF!</definedName>
    <definedName name="historicalSyncTime14">'Farther Future Bitcoin'!#REF!</definedName>
    <definedName name="historicalSyncTime1pf">'Farther Future Bitcoin'!$M$16</definedName>
    <definedName name="historicalSyncTime90pf">'Farther Future Bitcoin'!$M$18</definedName>
    <definedName name="invSize">'Current Bitcoin'!$A$30</definedName>
    <definedName name="KBperGB">'Current Bitcoin'!$E$21</definedName>
    <definedName name="latency10p">'Current Bitcoin'!$I$14</definedName>
    <definedName name="latency10pf">'Farther Future Bitcoin'!$I$17</definedName>
    <definedName name="Latency10thP1">'Current Bitcoin'!#REF!</definedName>
    <definedName name="Latency10thP2">'Farther Future Bitcoin'!#REF!</definedName>
    <definedName name="latency1pf">'Farther Future Bitcoin'!$I$16</definedName>
    <definedName name="Latency1stP2">'Farther Future Bitcoin'!#REF!</definedName>
    <definedName name="latency90p">'Current Bitcoin'!$I$15</definedName>
    <definedName name="latency90pf">'Farther Future Bitcoin'!$I$18</definedName>
    <definedName name="Latency90thP1">'Current Bitcoin'!#REF!</definedName>
    <definedName name="latencyGrowth">'Current Bitcoin'!$I$16</definedName>
    <definedName name="lightspeedAvgLatency">'Current Bitcoin'!$F$35</definedName>
    <definedName name="maximumMinerAdvantage">'Current Bitcoin'!$C$313</definedName>
    <definedName name="maximumMinerAdvantage2">'Farther Future Bitcoin'!$E$189</definedName>
    <definedName name="maximumMinerAdvantagea">'Current Bitcoin'!$H$353</definedName>
    <definedName name="mbToGB">'Current Bitcoin'!$D$21</definedName>
    <definedName name="memory1">'Current Bitcoin'!#REF!</definedName>
    <definedName name="memory10p">'Current Bitcoin'!$G$14</definedName>
    <definedName name="memory10pf">'Farther Future Bitcoin'!$G$17</definedName>
    <definedName name="memory15">'Farther Future Bitcoin'!#REF!</definedName>
    <definedName name="memory1pf">'Farther Future Bitcoin'!$G$16</definedName>
    <definedName name="memory2">'Current Bitcoin'!#REF!</definedName>
    <definedName name="memory3">'Current Bitcoin'!$F$105</definedName>
    <definedName name="memory6">'Current Bitcoin'!#REF!</definedName>
    <definedName name="memory6p5">'Current Bitcoin'!#REF!</definedName>
    <definedName name="memory90p">'Current Bitcoin'!$G$15</definedName>
    <definedName name="memory90pf">'Farther Future Bitcoin'!$G$18</definedName>
    <definedName name="memoryGrowth">'Current Bitcoin'!$G$16</definedName>
    <definedName name="minLastMileLatency">'Current Bitcoin'!$E$35</definedName>
    <definedName name="minPublicNodeConnections">'Current Bitcoin'!$K$14</definedName>
    <definedName name="missingTransactionRate">'Current Bitcoin'!$D$35</definedName>
    <definedName name="neutrinoFilterRatio">'Current Bitcoin'!$F$26</definedName>
    <definedName name="onchainTxnRate">'Farther Future Bitcoin'!#REF!</definedName>
    <definedName name="ongoingResourcePercent10thP2">'Farther Future Bitcoin'!#REF!</definedName>
    <definedName name="ongoingResourcePercent6">'Current Bitcoin'!#REF!</definedName>
    <definedName name="ongoingResourcePercent6p5">'Current Bitcoin'!#REF!</definedName>
    <definedName name="ongoingResourcePercent7">'Current Bitcoin'!#REF!</definedName>
    <definedName name="ongoingResourcePercent90thP1">'Current Bitcoin'!#REF!</definedName>
    <definedName name="ongoingResourcePercentage15">'Farther Future Bitcoin'!#REF!</definedName>
    <definedName name="ongoingResourcePercentage16">'Farther Future Bitcoin'!#REF!</definedName>
    <definedName name="ongoingResourcePercentage4">'Farther Future Bitcoin'!#REF!</definedName>
    <definedName name="ongoingResourcePercentage5">'Current Bitcoin'!#REF!</definedName>
    <definedName name="ongoingResourcePercentage8">'Current Bitcoin'!#REF!</definedName>
    <definedName name="ongoingResourcePercentage8p9">'Current Bitcoin'!#REF!</definedName>
    <definedName name="ongoingResourceRatio10p">'Current Bitcoin'!$N$14</definedName>
    <definedName name="ongoingResourceRatio10pf">'Farther Future Bitcoin'!$O$17</definedName>
    <definedName name="ongoingResourceRatio1pf">'Farther Future Bitcoin'!$O$16</definedName>
    <definedName name="ongoingResourceRatio90p">'Current Bitcoin'!$N$15</definedName>
    <definedName name="ongoingResourceRatio90pf">'Farther Future Bitcoin'!$O$18</definedName>
    <definedName name="outgoingConnections">'Current Bitcoin'!#REF!</definedName>
    <definedName name="outgoingConnections10p">'Current Bitcoin'!$J$14</definedName>
    <definedName name="outgoingConnections10pf">'Farther Future Bitcoin'!$J$17</definedName>
    <definedName name="outgoingConnections1pf">'Farther Future Bitcoin'!$J$16</definedName>
    <definedName name="outgoingConnections9">'Current Bitcoin'!#REF!</definedName>
    <definedName name="outgoingConnections90p">'Current Bitcoin'!$J$15</definedName>
    <definedName name="outgoingConnections90pf">'Farther Future Bitcoin'!$J$18</definedName>
    <definedName name="percentSPVNodes">'Farther Future Bitcoin'!$C$189</definedName>
    <definedName name="privateConnections10tha">'Current Bitcoin'!#REF!</definedName>
    <definedName name="privateConnections10thb">'Current Bitcoin'!#REF!</definedName>
    <definedName name="privateConnections10thc">'Farther Future Bitcoin'!#REF!</definedName>
    <definedName name="privateConnections1sta">'Current Bitcoin'!#REF!</definedName>
    <definedName name="privateConnections1stb">'Current Bitcoin'!#REF!</definedName>
    <definedName name="privateConnections1stc">'Farther Future Bitcoin'!#REF!</definedName>
    <definedName name="privateConnections90tha">'Current Bitcoin'!#REF!</definedName>
    <definedName name="privateConnections90thb">'Current Bitcoin'!#REF!</definedName>
    <definedName name="privateConnections90thc">'Farther Future Bitcoin'!#REF!</definedName>
    <definedName name="privateNodePercent">'Current Bitcoin'!$B$35</definedName>
    <definedName name="proximityFavoringFactor">'Current Bitcoin'!$H$313</definedName>
    <definedName name="proximityFavoringFactor2">'Farther Future Bitcoin'!$F$189</definedName>
    <definedName name="publicConnections10tha">'Current Bitcoin'!#REF!</definedName>
    <definedName name="publicConnections10thb">'Current Bitcoin'!#REF!</definedName>
    <definedName name="publicConnections10thc">'Farther Future Bitcoin'!#REF!</definedName>
    <definedName name="publicConnections1sta">'Current Bitcoin'!#REF!</definedName>
    <definedName name="publicConnections1stb">'Current Bitcoin'!#REF!</definedName>
    <definedName name="publicConnections1stc">'Farther Future Bitcoin'!#REF!</definedName>
    <definedName name="publicConnections8">'Current Bitcoin'!#REF!</definedName>
    <definedName name="publicConnections9">'Current Bitcoin'!#REF!</definedName>
    <definedName name="publicConnections90tha">'Current Bitcoin'!#REF!</definedName>
    <definedName name="publicConnections90thb">'Current Bitcoin'!#REF!</definedName>
    <definedName name="publicConnections90thc">'Farther Future Bitcoin'!#REF!</definedName>
    <definedName name="publicNodeConnections10pf">'Farther Future Bitcoin'!$K$17</definedName>
    <definedName name="publicNodeConnections1pf">'Farther Future Bitcoin'!$K$16</definedName>
    <definedName name="publicNodeConnections90pf">'Farther Future Bitcoin'!$K$18</definedName>
    <definedName name="publicNodePercent">'Current Bitcoin'!$A$35</definedName>
    <definedName name="recentSyncTime10pf">'Farther Future Bitcoin'!$L$17</definedName>
    <definedName name="recentSyncTime11">'Near-future Bitcoin'!#REF!</definedName>
    <definedName name="recentSyncTime15">'Farther Future Bitcoin'!#REF!</definedName>
    <definedName name="recentSyncTime16">'Farther Future Bitcoin'!#REF!</definedName>
    <definedName name="recentSyncTime1pf">'Farther Future Bitcoin'!$L$16</definedName>
    <definedName name="recentSyncTime8">'Near-future Bitcoin'!#REF!</definedName>
    <definedName name="recentSyncTime90pf">'Farther Future Bitcoin'!$L$18</definedName>
    <definedName name="resourcePercent">'Current Bitcoin'!#REF!</definedName>
    <definedName name="resourcePercent2">'Current Bitcoin'!#REF!</definedName>
    <definedName name="resourcePercent3">'Current Bitcoin'!$L$105</definedName>
    <definedName name="secondsPerBlock">'Current Bitcoin'!$C$21</definedName>
    <definedName name="secondsPerYear">'Current Bitcoin'!$B$21</definedName>
    <definedName name="spvUserPercent">'Farther Future Bitcoin'!#REF!</definedName>
    <definedName name="sybilPercenta">'Current Bitcoin'!$A$353</definedName>
    <definedName name="sybilPercentb">'Farther Future Bitcoin'!$G$189</definedName>
    <definedName name="syncResourcePercent10">'Near-future Bitcoin'!#REF!</definedName>
    <definedName name="syncResourcePercent11">'Near-future Bitcoin'!#REF!</definedName>
    <definedName name="syncResourcePercent8">'Near-future Bitcoin'!#REF!</definedName>
    <definedName name="syncResourcePercentage15">'Farther Future Bitcoin'!#REF!</definedName>
    <definedName name="syncResourceRatio10p">'Current Bitcoin'!$M$14</definedName>
    <definedName name="syncResourceRatio10pf">'Farther Future Bitcoin'!$N$17</definedName>
    <definedName name="syncResourceRatio1pf">'Farther Future Bitcoin'!$N$16</definedName>
    <definedName name="syncResourceRatio90p">'Current Bitcoin'!$M$15</definedName>
    <definedName name="syncResourceRatio90pf">'Farther Future Bitcoin'!$N$18</definedName>
    <definedName name="syncTime1">'Current Bitcoin'!#REF!</definedName>
    <definedName name="syncTime10p">'Current Bitcoin'!$L$14</definedName>
    <definedName name="syncTime2">'Current Bitcoin'!#REF!</definedName>
    <definedName name="syncTime3">'Current Bitcoin'!$K$105</definedName>
    <definedName name="syncTime8">'Near-future Bitcoin'!#REF!</definedName>
    <definedName name="syncTime90p">'Current Bitcoin'!$L$15</definedName>
    <definedName name="targetMinerPercentHashpower">'Current Bitcoin'!$B$313</definedName>
    <definedName name="targetMinerPercentHashpower2">'Farther Future Bitcoin'!$D$189</definedName>
    <definedName name="targetMinerPercentHashpowera">'Current Bitcoin'!$G$353</definedName>
    <definedName name="throughput1">'Current Bitcoin'!#REF!</definedName>
    <definedName name="Throughput10thP1">'Current Bitcoin'!#REF!</definedName>
    <definedName name="Throughput10thP2">'Farther Future Bitcoin'!#REF!</definedName>
    <definedName name="throughput11">'Near-future Bitcoin'!#REF!</definedName>
    <definedName name="throughput12">'Near-future Bitcoin'!#REF!</definedName>
    <definedName name="throughput14">'Farther Future Bitcoin'!#REF!</definedName>
    <definedName name="throughput15">'Farther Future Bitcoin'!#REF!</definedName>
    <definedName name="throughput2">'Current Bitcoin'!#REF!</definedName>
    <definedName name="throughput3">'Current Bitcoin'!$G$105</definedName>
    <definedName name="throughput4">'Farther Future Bitcoin'!#REF!</definedName>
    <definedName name="throughput5">'Current Bitcoin'!#REF!</definedName>
    <definedName name="Throughput90thP1">'Current Bitcoin'!#REF!</definedName>
    <definedName name="utreexoHashSize">'Farther Future Bitcoin'!$E$29</definedName>
    <definedName name="utxoExpand">'Current Bitcoin'!$E$26</definedName>
    <definedName name="utxoGrowth">'Current Bitcoin'!$E$30</definedName>
    <definedName name="utxoMemoryPercent">'Current Bitcoin'!$D$26</definedName>
    <definedName name="utxoSize">'Current Bitcoin'!$D$30</definedName>
    <definedName name="utxosPerUserEndGame">'Farther Future Bitcoin'!$D$29</definedName>
    <definedName name="validationRate10p">'Current Bitcoin'!$H$14</definedName>
    <definedName name="validationRate10pf">'Farther Future Bitcoin'!$H$17</definedName>
    <definedName name="validationRate1pf">'Farther Future Bitcoin'!$H$16</definedName>
    <definedName name="validationRate90p">'Current Bitcoin'!$H$15</definedName>
    <definedName name="validationRate90pf">'Farther Future Bitcoin'!$H$18</definedName>
  </definedNames>
  <calcPr calcId="144525"/>
</workbook>
</file>

<file path=xl/calcChain.xml><?xml version="1.0" encoding="utf-8"?>
<calcChain xmlns="http://schemas.openxmlformats.org/spreadsheetml/2006/main">
  <c r="D77" i="2" l="1"/>
  <c r="E15" i="1"/>
  <c r="D15" i="1"/>
  <c r="K14" i="1"/>
  <c r="E14" i="1"/>
  <c r="D14" i="1"/>
  <c r="E18" i="2"/>
  <c r="H169" i="2" s="1"/>
  <c r="D18" i="2"/>
  <c r="N17" i="2"/>
  <c r="K17" i="2"/>
  <c r="E17" i="2"/>
  <c r="D17" i="2"/>
  <c r="K16" i="2"/>
  <c r="E16" i="2"/>
  <c r="D16" i="2"/>
  <c r="F276" i="2"/>
  <c r="F272" i="2"/>
  <c r="F271" i="2"/>
  <c r="G214" i="2"/>
  <c r="G215" i="2"/>
  <c r="G216" i="2"/>
  <c r="G217" i="2"/>
  <c r="G218" i="2"/>
  <c r="G219" i="2"/>
  <c r="G220" i="2"/>
  <c r="G221" i="2"/>
  <c r="G222" i="2"/>
  <c r="G223" i="2"/>
  <c r="G213" i="2"/>
  <c r="K189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40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98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19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98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77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56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35" i="2"/>
  <c r="E118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C85" i="3"/>
  <c r="B85" i="3"/>
  <c r="M6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L6" i="3"/>
  <c r="N6" i="3"/>
  <c r="H6" i="3"/>
  <c r="B40" i="3"/>
  <c r="C40" i="3"/>
  <c r="B41" i="3"/>
  <c r="C41" i="3"/>
  <c r="B42" i="3"/>
  <c r="C42" i="3"/>
  <c r="B43" i="3"/>
  <c r="C43" i="3"/>
  <c r="B44" i="3"/>
  <c r="E44" i="3" s="1"/>
  <c r="F44" i="3" s="1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C39" i="3"/>
  <c r="B39" i="3"/>
  <c r="E6" i="3"/>
  <c r="M5" i="3"/>
  <c r="D6" i="3"/>
  <c r="D5" i="3"/>
  <c r="B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16" i="3"/>
  <c r="O6" i="3"/>
  <c r="O5" i="3"/>
  <c r="N5" i="3"/>
  <c r="L5" i="3"/>
  <c r="K6" i="3"/>
  <c r="K5" i="3"/>
  <c r="J6" i="3"/>
  <c r="J5" i="3"/>
  <c r="I7" i="3"/>
  <c r="I6" i="3"/>
  <c r="I5" i="3"/>
  <c r="H7" i="3"/>
  <c r="H5" i="3"/>
  <c r="G7" i="3"/>
  <c r="G6" i="3"/>
  <c r="G5" i="3"/>
  <c r="F7" i="3"/>
  <c r="F6" i="3"/>
  <c r="F5" i="3"/>
  <c r="E5" i="3"/>
  <c r="C6" i="3"/>
  <c r="C5" i="3"/>
  <c r="B7" i="3"/>
  <c r="B5" i="3"/>
  <c r="C16" i="3"/>
  <c r="C17" i="3" s="1"/>
  <c r="C18" i="3" s="1"/>
  <c r="C19" i="3" s="1"/>
  <c r="C20" i="3" s="1"/>
  <c r="E6" i="2"/>
  <c r="E7" i="2"/>
  <c r="E8" i="2"/>
  <c r="E9" i="2"/>
  <c r="E10" i="2"/>
  <c r="E5" i="2"/>
  <c r="G378" i="1"/>
  <c r="G379" i="1"/>
  <c r="G380" i="1"/>
  <c r="G381" i="1"/>
  <c r="G382" i="1"/>
  <c r="G383" i="1"/>
  <c r="G384" i="1"/>
  <c r="G385" i="1"/>
  <c r="G386" i="1"/>
  <c r="G387" i="1"/>
  <c r="G377" i="1"/>
  <c r="G342" i="1"/>
  <c r="G343" i="1"/>
  <c r="G344" i="1"/>
  <c r="G345" i="1"/>
  <c r="G346" i="1"/>
  <c r="G347" i="1"/>
  <c r="G338" i="1"/>
  <c r="G339" i="1"/>
  <c r="G340" i="1"/>
  <c r="G341" i="1"/>
  <c r="G337" i="1"/>
  <c r="F313" i="1"/>
  <c r="J218" i="2" s="1"/>
  <c r="G313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289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41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18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72" i="1"/>
  <c r="E397" i="1"/>
  <c r="B196" i="1"/>
  <c r="H397" i="1"/>
  <c r="G107" i="3" s="1"/>
  <c r="E392" i="1"/>
  <c r="J219" i="2" l="1"/>
  <c r="J217" i="2"/>
  <c r="J213" i="2"/>
  <c r="J216" i="2"/>
  <c r="J223" i="2"/>
  <c r="J215" i="2"/>
  <c r="J222" i="2"/>
  <c r="J214" i="2"/>
  <c r="J221" i="2"/>
  <c r="J220" i="2"/>
  <c r="H175" i="2"/>
  <c r="H167" i="2"/>
  <c r="H176" i="2"/>
  <c r="H168" i="2"/>
  <c r="H174" i="2"/>
  <c r="H166" i="2"/>
  <c r="H165" i="2"/>
  <c r="H173" i="2"/>
  <c r="H180" i="2"/>
  <c r="H172" i="2"/>
  <c r="H179" i="2"/>
  <c r="H171" i="2"/>
  <c r="H178" i="2"/>
  <c r="H170" i="2"/>
  <c r="H177" i="2"/>
  <c r="C71" i="3"/>
  <c r="D71" i="3" s="1"/>
  <c r="E99" i="3"/>
  <c r="F99" i="3" s="1"/>
  <c r="C74" i="3"/>
  <c r="D74" i="3" s="1"/>
  <c r="C72" i="3"/>
  <c r="D72" i="3" s="1"/>
  <c r="E52" i="3"/>
  <c r="F52" i="3" s="1"/>
  <c r="D20" i="3"/>
  <c r="E20" i="3" s="1"/>
  <c r="F20" i="3" s="1"/>
  <c r="C21" i="3"/>
  <c r="C22" i="3" s="1"/>
  <c r="C23" i="3" s="1"/>
  <c r="C24" i="3" s="1"/>
  <c r="C25" i="3" s="1"/>
  <c r="C26" i="3" s="1"/>
  <c r="C27" i="3" s="1"/>
  <c r="C28" i="3" s="1"/>
  <c r="D19" i="3"/>
  <c r="E19" i="3" s="1"/>
  <c r="F19" i="3" s="1"/>
  <c r="D44" i="3"/>
  <c r="D52" i="3"/>
  <c r="C69" i="3"/>
  <c r="D69" i="3" s="1"/>
  <c r="C77" i="3"/>
  <c r="D77" i="3" s="1"/>
  <c r="E88" i="3"/>
  <c r="F88" i="3" s="1"/>
  <c r="E96" i="3"/>
  <c r="F96" i="3" s="1"/>
  <c r="D16" i="3"/>
  <c r="E16" i="3" s="1"/>
  <c r="C64" i="3"/>
  <c r="D64" i="3" s="1"/>
  <c r="E85" i="3"/>
  <c r="E93" i="3"/>
  <c r="F93" i="3" s="1"/>
  <c r="C67" i="3"/>
  <c r="D67" i="3" s="1"/>
  <c r="C75" i="3"/>
  <c r="E90" i="3"/>
  <c r="F90" i="3" s="1"/>
  <c r="E98" i="3"/>
  <c r="F98" i="3" s="1"/>
  <c r="D18" i="3"/>
  <c r="E18" i="3" s="1"/>
  <c r="F18" i="3" s="1"/>
  <c r="C62" i="3"/>
  <c r="C70" i="3"/>
  <c r="D70" i="3" s="1"/>
  <c r="E87" i="3"/>
  <c r="F87" i="3" s="1"/>
  <c r="E95" i="3"/>
  <c r="F95" i="3" s="1"/>
  <c r="C65" i="3"/>
  <c r="D65" i="3" s="1"/>
  <c r="C73" i="3"/>
  <c r="D73" i="3" s="1"/>
  <c r="E92" i="3"/>
  <c r="F92" i="3" s="1"/>
  <c r="E100" i="3"/>
  <c r="F100" i="3" s="1"/>
  <c r="C68" i="3"/>
  <c r="D68" i="3" s="1"/>
  <c r="C76" i="3"/>
  <c r="D76" i="3" s="1"/>
  <c r="E89" i="3"/>
  <c r="F89" i="3" s="1"/>
  <c r="E97" i="3"/>
  <c r="F97" i="3" s="1"/>
  <c r="D17" i="3"/>
  <c r="E17" i="3" s="1"/>
  <c r="F17" i="3" s="1"/>
  <c r="C63" i="3"/>
  <c r="D63" i="3" s="1"/>
  <c r="E86" i="3"/>
  <c r="F86" i="3" s="1"/>
  <c r="E94" i="3"/>
  <c r="F94" i="3" s="1"/>
  <c r="C66" i="3"/>
  <c r="D66" i="3" s="1"/>
  <c r="E91" i="3"/>
  <c r="F91" i="3" s="1"/>
  <c r="D96" i="3"/>
  <c r="D313" i="1"/>
  <c r="B210" i="1"/>
  <c r="B207" i="1"/>
  <c r="B209" i="1"/>
  <c r="B195" i="1"/>
  <c r="B205" i="1"/>
  <c r="B202" i="1"/>
  <c r="B199" i="1"/>
  <c r="B208" i="1"/>
  <c r="B204" i="1"/>
  <c r="B198" i="1"/>
  <c r="B206" i="1"/>
  <c r="B201" i="1"/>
  <c r="B197" i="1"/>
  <c r="B203" i="1"/>
  <c r="B200" i="1"/>
  <c r="E64" i="2" l="1"/>
  <c r="E56" i="2"/>
  <c r="E57" i="2"/>
  <c r="E65" i="2"/>
  <c r="E58" i="2"/>
  <c r="E66" i="2"/>
  <c r="E59" i="2"/>
  <c r="E67" i="2"/>
  <c r="E60" i="2"/>
  <c r="E68" i="2"/>
  <c r="E61" i="2"/>
  <c r="E69" i="2"/>
  <c r="E62" i="2"/>
  <c r="E70" i="2"/>
  <c r="E63" i="2"/>
  <c r="E71" i="2"/>
  <c r="E35" i="2"/>
  <c r="E47" i="2"/>
  <c r="F47" i="2" s="1"/>
  <c r="G47" i="2" s="1"/>
  <c r="E44" i="2"/>
  <c r="F44" i="2" s="1"/>
  <c r="G44" i="2" s="1"/>
  <c r="E48" i="2"/>
  <c r="F48" i="2" s="1"/>
  <c r="G48" i="2" s="1"/>
  <c r="E36" i="2"/>
  <c r="F36" i="2" s="1"/>
  <c r="G36" i="2" s="1"/>
  <c r="E40" i="2"/>
  <c r="F40" i="2" s="1"/>
  <c r="G40" i="2" s="1"/>
  <c r="E37" i="2"/>
  <c r="F37" i="2" s="1"/>
  <c r="G37" i="2" s="1"/>
  <c r="E41" i="2"/>
  <c r="F41" i="2" s="1"/>
  <c r="G41" i="2" s="1"/>
  <c r="E45" i="2"/>
  <c r="F45" i="2" s="1"/>
  <c r="G45" i="2" s="1"/>
  <c r="E49" i="2"/>
  <c r="F49" i="2" s="1"/>
  <c r="G49" i="2" s="1"/>
  <c r="E38" i="2"/>
  <c r="F38" i="2" s="1"/>
  <c r="G38" i="2" s="1"/>
  <c r="E42" i="2"/>
  <c r="F42" i="2" s="1"/>
  <c r="G42" i="2" s="1"/>
  <c r="E46" i="2"/>
  <c r="F46" i="2" s="1"/>
  <c r="G46" i="2" s="1"/>
  <c r="E50" i="2"/>
  <c r="F50" i="2" s="1"/>
  <c r="G50" i="2" s="1"/>
  <c r="E39" i="2"/>
  <c r="F39" i="2" s="1"/>
  <c r="G39" i="2" s="1"/>
  <c r="E43" i="2"/>
  <c r="F43" i="2" s="1"/>
  <c r="G43" i="2" s="1"/>
  <c r="D23" i="3"/>
  <c r="E23" i="3" s="1"/>
  <c r="F23" i="3" s="1"/>
  <c r="D88" i="3"/>
  <c r="D98" i="3"/>
  <c r="D87" i="3"/>
  <c r="D99" i="3"/>
  <c r="D89" i="3"/>
  <c r="D94" i="3"/>
  <c r="D86" i="3"/>
  <c r="D97" i="3"/>
  <c r="D95" i="3"/>
  <c r="D100" i="3"/>
  <c r="E39" i="3"/>
  <c r="D39" i="3"/>
  <c r="G108" i="3" s="1"/>
  <c r="D75" i="3"/>
  <c r="D50" i="3"/>
  <c r="E50" i="3"/>
  <c r="F50" i="3" s="1"/>
  <c r="E40" i="3"/>
  <c r="F40" i="3" s="1"/>
  <c r="D40" i="3"/>
  <c r="D90" i="3"/>
  <c r="D24" i="3"/>
  <c r="E24" i="3" s="1"/>
  <c r="F24" i="3" s="1"/>
  <c r="D22" i="3"/>
  <c r="E22" i="3" s="1"/>
  <c r="F22" i="3" s="1"/>
  <c r="E48" i="3"/>
  <c r="F48" i="3" s="1"/>
  <c r="D48" i="3"/>
  <c r="E53" i="3"/>
  <c r="F53" i="3" s="1"/>
  <c r="D53" i="3"/>
  <c r="D92" i="3"/>
  <c r="D26" i="3"/>
  <c r="E26" i="3" s="1"/>
  <c r="F26" i="3" s="1"/>
  <c r="E110" i="3"/>
  <c r="F85" i="3"/>
  <c r="F110" i="3" s="1"/>
  <c r="F16" i="3"/>
  <c r="E106" i="3" s="1"/>
  <c r="F106" i="3"/>
  <c r="E49" i="3"/>
  <c r="F49" i="3" s="1"/>
  <c r="D49" i="3"/>
  <c r="D42" i="3"/>
  <c r="E42" i="3"/>
  <c r="F42" i="3" s="1"/>
  <c r="E51" i="3"/>
  <c r="F51" i="3" s="1"/>
  <c r="D51" i="3"/>
  <c r="D91" i="3"/>
  <c r="D45" i="3"/>
  <c r="E45" i="3"/>
  <c r="F45" i="3" s="1"/>
  <c r="E54" i="3"/>
  <c r="F54" i="3" s="1"/>
  <c r="D54" i="3"/>
  <c r="D93" i="3"/>
  <c r="E41" i="3"/>
  <c r="F41" i="3" s="1"/>
  <c r="D41" i="3"/>
  <c r="D62" i="3"/>
  <c r="F109" i="3" s="1"/>
  <c r="E109" i="3"/>
  <c r="E43" i="3"/>
  <c r="F43" i="3" s="1"/>
  <c r="D43" i="3"/>
  <c r="D27" i="3"/>
  <c r="E27" i="3" s="1"/>
  <c r="F27" i="3" s="1"/>
  <c r="E47" i="3"/>
  <c r="F47" i="3" s="1"/>
  <c r="D47" i="3"/>
  <c r="E46" i="3"/>
  <c r="F46" i="3" s="1"/>
  <c r="D46" i="3"/>
  <c r="D85" i="3"/>
  <c r="G110" i="3" s="1"/>
  <c r="D21" i="3"/>
  <c r="E21" i="3" s="1"/>
  <c r="F21" i="3" s="1"/>
  <c r="C29" i="3"/>
  <c r="C30" i="3" s="1"/>
  <c r="D28" i="3"/>
  <c r="E28" i="3" s="1"/>
  <c r="F28" i="3" s="1"/>
  <c r="D25" i="3"/>
  <c r="E25" i="3" s="1"/>
  <c r="F25" i="3" s="1"/>
  <c r="H245" i="2"/>
  <c r="C31" i="3" l="1"/>
  <c r="D31" i="3" s="1"/>
  <c r="E31" i="3" s="1"/>
  <c r="F31" i="3" s="1"/>
  <c r="D30" i="3"/>
  <c r="E30" i="3" s="1"/>
  <c r="F30" i="3" s="1"/>
  <c r="D29" i="3"/>
  <c r="E29" i="3" s="1"/>
  <c r="F29" i="3" s="1"/>
  <c r="F108" i="3"/>
  <c r="F39" i="3"/>
  <c r="E108" i="3" s="1"/>
  <c r="N9" i="2"/>
  <c r="K9" i="2"/>
  <c r="K8" i="2"/>
  <c r="N6" i="2"/>
  <c r="K6" i="2"/>
  <c r="K5" i="2"/>
  <c r="I403" i="1"/>
  <c r="H403" i="1"/>
  <c r="I245" i="2" s="1"/>
  <c r="G403" i="1"/>
  <c r="G245" i="2" s="1"/>
  <c r="K7" i="1"/>
  <c r="K5" i="1"/>
  <c r="F35" i="1"/>
  <c r="G189" i="2"/>
  <c r="H189" i="2" s="1"/>
  <c r="B19" i="2" l="1"/>
  <c r="C19" i="2"/>
  <c r="C16" i="1"/>
  <c r="C7" i="3" s="1"/>
  <c r="A353" i="1" l="1"/>
  <c r="B353" i="1" s="1"/>
  <c r="C172" i="1" l="1"/>
  <c r="E254" i="2" l="1"/>
  <c r="E237" i="2"/>
  <c r="J254" i="2"/>
  <c r="E258" i="2"/>
  <c r="J258" i="2"/>
  <c r="J241" i="2"/>
  <c r="J237" i="2"/>
  <c r="E241" i="2"/>
  <c r="F26" i="1"/>
  <c r="D229" i="2" l="1"/>
  <c r="F246" i="2" s="1"/>
  <c r="J255" i="2" l="1"/>
  <c r="J253" i="2"/>
  <c r="J252" i="2"/>
  <c r="J260" i="2"/>
  <c r="J257" i="2"/>
  <c r="J256" i="2"/>
  <c r="J259" i="2"/>
  <c r="J238" i="2"/>
  <c r="J236" i="2"/>
  <c r="J235" i="2"/>
  <c r="J243" i="2"/>
  <c r="J240" i="2"/>
  <c r="J239" i="2"/>
  <c r="J242" i="2"/>
  <c r="E253" i="2"/>
  <c r="E252" i="2"/>
  <c r="E260" i="2"/>
  <c r="E257" i="2"/>
  <c r="E256" i="2"/>
  <c r="E259" i="2"/>
  <c r="E236" i="2"/>
  <c r="E235" i="2"/>
  <c r="E243" i="2"/>
  <c r="E240" i="2"/>
  <c r="E239" i="2"/>
  <c r="E242" i="2"/>
  <c r="G29" i="2"/>
  <c r="C21" i="1" l="1"/>
  <c r="E110" i="1" l="1"/>
  <c r="B319" i="1"/>
  <c r="B327" i="1"/>
  <c r="B320" i="1"/>
  <c r="B328" i="1"/>
  <c r="B321" i="1"/>
  <c r="B329" i="1"/>
  <c r="B322" i="1"/>
  <c r="B330" i="1"/>
  <c r="B323" i="1"/>
  <c r="B331" i="1"/>
  <c r="B324" i="1"/>
  <c r="B332" i="1"/>
  <c r="B325" i="1"/>
  <c r="B333" i="1"/>
  <c r="B326" i="1"/>
  <c r="B359" i="1"/>
  <c r="F403" i="1"/>
  <c r="F245" i="2" s="1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194" i="2"/>
  <c r="J25" i="1"/>
  <c r="J24" i="1"/>
  <c r="J23" i="1"/>
  <c r="K39" i="1" l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J22" i="1"/>
  <c r="L22" i="1"/>
  <c r="L23" i="1"/>
  <c r="L24" i="1"/>
  <c r="L25" i="1"/>
  <c r="J26" i="1"/>
  <c r="L26" i="1"/>
  <c r="J27" i="1"/>
  <c r="L27" i="1"/>
  <c r="J28" i="1"/>
  <c r="L28" i="1"/>
  <c r="J29" i="1"/>
  <c r="L29" i="1"/>
  <c r="J30" i="1"/>
  <c r="L30" i="1"/>
  <c r="J31" i="1"/>
  <c r="L31" i="1"/>
  <c r="J32" i="1"/>
  <c r="L32" i="1"/>
  <c r="J33" i="1"/>
  <c r="L33" i="1"/>
  <c r="J34" i="1"/>
  <c r="L34" i="1"/>
  <c r="J35" i="1"/>
  <c r="L35" i="1"/>
  <c r="J36" i="1"/>
  <c r="L36" i="1"/>
  <c r="J37" i="1"/>
  <c r="L37" i="1"/>
  <c r="J38" i="1"/>
  <c r="L38" i="1"/>
  <c r="J39" i="1"/>
  <c r="L39" i="1"/>
  <c r="C35" i="1" l="1"/>
  <c r="C35" i="2"/>
  <c r="D35" i="2" s="1"/>
  <c r="C145" i="2" l="1"/>
  <c r="D145" i="2" s="1"/>
  <c r="C126" i="2"/>
  <c r="D126" i="2" s="1"/>
  <c r="C98" i="2"/>
  <c r="D98" i="2" s="1"/>
  <c r="C85" i="2"/>
  <c r="D85" i="2" s="1"/>
  <c r="C77" i="2"/>
  <c r="C64" i="2"/>
  <c r="D64" i="2" s="1"/>
  <c r="C152" i="2"/>
  <c r="D152" i="2" s="1"/>
  <c r="C141" i="2"/>
  <c r="D141" i="2" s="1"/>
  <c r="C133" i="2"/>
  <c r="D133" i="2" s="1"/>
  <c r="C129" i="2"/>
  <c r="D129" i="2" s="1"/>
  <c r="C122" i="2"/>
  <c r="D122" i="2" s="1"/>
  <c r="C110" i="2"/>
  <c r="D110" i="2" s="1"/>
  <c r="C106" i="2"/>
  <c r="D106" i="2" s="1"/>
  <c r="C102" i="2"/>
  <c r="D102" i="2" s="1"/>
  <c r="C92" i="2"/>
  <c r="D92" i="2" s="1"/>
  <c r="C84" i="2"/>
  <c r="D84" i="2" s="1"/>
  <c r="C83" i="2"/>
  <c r="D83" i="2" s="1"/>
  <c r="C67" i="2"/>
  <c r="D67" i="2" s="1"/>
  <c r="C63" i="2"/>
  <c r="D63" i="2" s="1"/>
  <c r="C155" i="2"/>
  <c r="D155" i="2" s="1"/>
  <c r="C148" i="2"/>
  <c r="D148" i="2" s="1"/>
  <c r="C91" i="2"/>
  <c r="D91" i="2" s="1"/>
  <c r="C71" i="2"/>
  <c r="D71" i="2" s="1"/>
  <c r="C59" i="2"/>
  <c r="D59" i="2" s="1"/>
  <c r="C60" i="2"/>
  <c r="D60" i="2" s="1"/>
  <c r="C151" i="2"/>
  <c r="D151" i="2" s="1"/>
  <c r="C144" i="2"/>
  <c r="D144" i="2" s="1"/>
  <c r="C132" i="2"/>
  <c r="D132" i="2" s="1"/>
  <c r="C128" i="2"/>
  <c r="D128" i="2" s="1"/>
  <c r="C125" i="2"/>
  <c r="D125" i="2" s="1"/>
  <c r="C121" i="2"/>
  <c r="D121" i="2" s="1"/>
  <c r="C113" i="2"/>
  <c r="D113" i="2" s="1"/>
  <c r="C109" i="2"/>
  <c r="D109" i="2" s="1"/>
  <c r="C105" i="2"/>
  <c r="D105" i="2" s="1"/>
  <c r="C101" i="2"/>
  <c r="D101" i="2" s="1"/>
  <c r="C90" i="2"/>
  <c r="D90" i="2" s="1"/>
  <c r="C82" i="2"/>
  <c r="D82" i="2" s="1"/>
  <c r="C66" i="2"/>
  <c r="D66" i="2" s="1"/>
  <c r="C58" i="2"/>
  <c r="D58" i="2" s="1"/>
  <c r="C149" i="2"/>
  <c r="D149" i="2" s="1"/>
  <c r="C142" i="2"/>
  <c r="D142" i="2" s="1"/>
  <c r="C130" i="2"/>
  <c r="D130" i="2" s="1"/>
  <c r="C123" i="2"/>
  <c r="D123" i="2" s="1"/>
  <c r="C154" i="2"/>
  <c r="D154" i="2" s="1"/>
  <c r="C147" i="2"/>
  <c r="D147" i="2" s="1"/>
  <c r="C140" i="2"/>
  <c r="D140" i="2" s="1"/>
  <c r="C89" i="2"/>
  <c r="D89" i="2" s="1"/>
  <c r="C81" i="2"/>
  <c r="D81" i="2" s="1"/>
  <c r="C70" i="2"/>
  <c r="D70" i="2" s="1"/>
  <c r="C62" i="2"/>
  <c r="D62" i="2" s="1"/>
  <c r="C107" i="2"/>
  <c r="D107" i="2" s="1"/>
  <c r="C103" i="2"/>
  <c r="D103" i="2" s="1"/>
  <c r="C86" i="2"/>
  <c r="D86" i="2" s="1"/>
  <c r="C68" i="2"/>
  <c r="D68" i="2" s="1"/>
  <c r="C150" i="2"/>
  <c r="D150" i="2" s="1"/>
  <c r="C143" i="2"/>
  <c r="D143" i="2" s="1"/>
  <c r="C131" i="2"/>
  <c r="D131" i="2" s="1"/>
  <c r="C127" i="2"/>
  <c r="D127" i="2" s="1"/>
  <c r="C124" i="2"/>
  <c r="D124" i="2" s="1"/>
  <c r="C120" i="2"/>
  <c r="D120" i="2" s="1"/>
  <c r="C112" i="2"/>
  <c r="D112" i="2" s="1"/>
  <c r="C108" i="2"/>
  <c r="D108" i="2" s="1"/>
  <c r="C104" i="2"/>
  <c r="D104" i="2" s="1"/>
  <c r="C100" i="2"/>
  <c r="D100" i="2" s="1"/>
  <c r="C88" i="2"/>
  <c r="D88" i="2" s="1"/>
  <c r="C80" i="2"/>
  <c r="D80" i="2" s="1"/>
  <c r="C153" i="2"/>
  <c r="D153" i="2" s="1"/>
  <c r="C146" i="2"/>
  <c r="D146" i="2" s="1"/>
  <c r="C134" i="2"/>
  <c r="D134" i="2" s="1"/>
  <c r="C87" i="2"/>
  <c r="D87" i="2" s="1"/>
  <c r="C79" i="2"/>
  <c r="D79" i="2" s="1"/>
  <c r="C69" i="2"/>
  <c r="D69" i="2" s="1"/>
  <c r="C65" i="2"/>
  <c r="D65" i="2" s="1"/>
  <c r="C61" i="2"/>
  <c r="D61" i="2" s="1"/>
  <c r="C57" i="2"/>
  <c r="D57" i="2" s="1"/>
  <c r="C119" i="2"/>
  <c r="D119" i="2" s="1"/>
  <c r="C111" i="2"/>
  <c r="D111" i="2" s="1"/>
  <c r="C99" i="2"/>
  <c r="D99" i="2" s="1"/>
  <c r="C78" i="2"/>
  <c r="D78" i="2" s="1"/>
  <c r="C56" i="2"/>
  <c r="D56" i="2" s="1"/>
  <c r="C37" i="2"/>
  <c r="D37" i="2" s="1"/>
  <c r="C45" i="2"/>
  <c r="D45" i="2" s="1"/>
  <c r="C39" i="2"/>
  <c r="D39" i="2" s="1"/>
  <c r="C40" i="2"/>
  <c r="D40" i="2" s="1"/>
  <c r="C38" i="2"/>
  <c r="D38" i="2" s="1"/>
  <c r="C46" i="2"/>
  <c r="D46" i="2" s="1"/>
  <c r="C47" i="2"/>
  <c r="D47" i="2" s="1"/>
  <c r="C48" i="2"/>
  <c r="D48" i="2" s="1"/>
  <c r="C41" i="2"/>
  <c r="D41" i="2" s="1"/>
  <c r="C49" i="2"/>
  <c r="D49" i="2" s="1"/>
  <c r="C43" i="2"/>
  <c r="D43" i="2" s="1"/>
  <c r="C44" i="2"/>
  <c r="D44" i="2" s="1"/>
  <c r="C42" i="2"/>
  <c r="D42" i="2" s="1"/>
  <c r="C50" i="2"/>
  <c r="D50" i="2" s="1"/>
  <c r="C36" i="2"/>
  <c r="D36" i="2" s="1"/>
  <c r="E394" i="1" l="1"/>
  <c r="D289" i="1"/>
  <c r="C40" i="1"/>
  <c r="A29" i="2" l="1"/>
  <c r="H36" i="2" l="1"/>
  <c r="H39" i="2"/>
  <c r="H47" i="2"/>
  <c r="H45" i="2"/>
  <c r="H50" i="2"/>
  <c r="H46" i="2"/>
  <c r="H41" i="2"/>
  <c r="H42" i="2"/>
  <c r="H37" i="2"/>
  <c r="H38" i="2"/>
  <c r="H49" i="2"/>
  <c r="H44" i="2"/>
  <c r="H43" i="2"/>
  <c r="H40" i="2"/>
  <c r="H48" i="2"/>
  <c r="C195" i="1"/>
  <c r="I189" i="2"/>
  <c r="F399" i="1"/>
  <c r="E400" i="1"/>
  <c r="E395" i="1"/>
  <c r="E396" i="1"/>
  <c r="E399" i="1"/>
  <c r="E393" i="1"/>
  <c r="I400" i="1"/>
  <c r="B264" i="1"/>
  <c r="C241" i="1"/>
  <c r="F397" i="1"/>
  <c r="E107" i="3" s="1"/>
  <c r="C195" i="2" l="1"/>
  <c r="C203" i="2"/>
  <c r="C196" i="2"/>
  <c r="C204" i="2"/>
  <c r="C197" i="2"/>
  <c r="C205" i="2"/>
  <c r="C198" i="2"/>
  <c r="C206" i="2"/>
  <c r="C199" i="2"/>
  <c r="C207" i="2"/>
  <c r="C200" i="2"/>
  <c r="C208" i="2"/>
  <c r="C201" i="2"/>
  <c r="C209" i="2"/>
  <c r="C202" i="2"/>
  <c r="C194" i="2"/>
  <c r="B265" i="1"/>
  <c r="C265" i="1" s="1"/>
  <c r="C264" i="1"/>
  <c r="D26" i="1"/>
  <c r="E196" i="2" l="1"/>
  <c r="E195" i="2"/>
  <c r="E313" i="1"/>
  <c r="C353" i="1"/>
  <c r="C292" i="1"/>
  <c r="C289" i="1"/>
  <c r="I394" i="1" s="1"/>
  <c r="D265" i="1"/>
  <c r="B266" i="1" s="1"/>
  <c r="C266" i="1" s="1"/>
  <c r="H393" i="1"/>
  <c r="C290" i="1"/>
  <c r="E289" i="1"/>
  <c r="C293" i="1"/>
  <c r="C297" i="1"/>
  <c r="C304" i="1"/>
  <c r="C296" i="1"/>
  <c r="C300" i="1"/>
  <c r="C299" i="1"/>
  <c r="C303" i="1"/>
  <c r="C295" i="1"/>
  <c r="C302" i="1"/>
  <c r="C294" i="1"/>
  <c r="C301" i="1"/>
  <c r="C291" i="1"/>
  <c r="C298" i="1"/>
  <c r="C26" i="1"/>
  <c r="E21" i="1"/>
  <c r="D21" i="1"/>
  <c r="B21" i="1"/>
  <c r="D110" i="1" s="1"/>
  <c r="E200" i="2" l="1"/>
  <c r="E205" i="2"/>
  <c r="E199" i="2"/>
  <c r="E202" i="2"/>
  <c r="E204" i="2"/>
  <c r="E203" i="2"/>
  <c r="E194" i="2"/>
  <c r="E209" i="2"/>
  <c r="E208" i="2"/>
  <c r="E206" i="2"/>
  <c r="E207" i="2"/>
  <c r="E197" i="2"/>
  <c r="E198" i="2"/>
  <c r="E201" i="2"/>
  <c r="C367" i="1"/>
  <c r="C371" i="1"/>
  <c r="C361" i="1"/>
  <c r="C364" i="1"/>
  <c r="C368" i="1"/>
  <c r="C360" i="1"/>
  <c r="C365" i="1"/>
  <c r="C372" i="1"/>
  <c r="C359" i="1"/>
  <c r="C362" i="1"/>
  <c r="C369" i="1"/>
  <c r="C373" i="1"/>
  <c r="C358" i="1"/>
  <c r="C366" i="1"/>
  <c r="C370" i="1"/>
  <c r="C363" i="1"/>
  <c r="C319" i="1"/>
  <c r="C323" i="1"/>
  <c r="C327" i="1"/>
  <c r="C331" i="1"/>
  <c r="C318" i="1"/>
  <c r="C320" i="1"/>
  <c r="C324" i="1"/>
  <c r="C328" i="1"/>
  <c r="C332" i="1"/>
  <c r="C321" i="1"/>
  <c r="C325" i="1"/>
  <c r="C329" i="1"/>
  <c r="C333" i="1"/>
  <c r="C322" i="1"/>
  <c r="C326" i="1"/>
  <c r="C330" i="1"/>
  <c r="F110" i="1"/>
  <c r="G110" i="1" s="1"/>
  <c r="C86" i="1"/>
  <c r="C90" i="1"/>
  <c r="C94" i="1"/>
  <c r="C98" i="1"/>
  <c r="C91" i="1"/>
  <c r="C99" i="1"/>
  <c r="B87" i="1"/>
  <c r="B91" i="1"/>
  <c r="B95" i="1"/>
  <c r="B99" i="1"/>
  <c r="C87" i="1"/>
  <c r="E87" i="1" s="1"/>
  <c r="D87" i="1" s="1"/>
  <c r="C95" i="1"/>
  <c r="B88" i="1"/>
  <c r="B92" i="1"/>
  <c r="B96" i="1"/>
  <c r="B100" i="1"/>
  <c r="B90" i="1"/>
  <c r="C88" i="1"/>
  <c r="C92" i="1"/>
  <c r="C96" i="1"/>
  <c r="C100" i="1"/>
  <c r="B86" i="1"/>
  <c r="B89" i="1"/>
  <c r="B93" i="1"/>
  <c r="B97" i="1"/>
  <c r="C85" i="1"/>
  <c r="B94" i="1"/>
  <c r="C89" i="1"/>
  <c r="C93" i="1"/>
  <c r="C97" i="1"/>
  <c r="B85" i="1"/>
  <c r="H392" i="1" s="1"/>
  <c r="B98" i="1"/>
  <c r="E6" i="1"/>
  <c r="E5" i="1"/>
  <c r="D5" i="1"/>
  <c r="D8" i="1"/>
  <c r="E7" i="1"/>
  <c r="E8" i="1"/>
  <c r="D10" i="2"/>
  <c r="D6" i="2"/>
  <c r="D9" i="2"/>
  <c r="D5" i="2"/>
  <c r="D7" i="2"/>
  <c r="D8" i="2"/>
  <c r="D7" i="1"/>
  <c r="D6" i="1"/>
  <c r="C338" i="1"/>
  <c r="C347" i="1"/>
  <c r="C344" i="1"/>
  <c r="C339" i="1"/>
  <c r="C342" i="1"/>
  <c r="C337" i="1"/>
  <c r="C341" i="1"/>
  <c r="C343" i="1"/>
  <c r="C346" i="1"/>
  <c r="C340" i="1"/>
  <c r="C345" i="1"/>
  <c r="J337" i="1"/>
  <c r="C221" i="2"/>
  <c r="C382" i="1"/>
  <c r="C222" i="2"/>
  <c r="C216" i="2"/>
  <c r="C213" i="2"/>
  <c r="C385" i="1"/>
  <c r="C378" i="1"/>
  <c r="C386" i="1"/>
  <c r="C379" i="1"/>
  <c r="C387" i="1"/>
  <c r="C219" i="2"/>
  <c r="C380" i="1"/>
  <c r="C377" i="1"/>
  <c r="C220" i="2"/>
  <c r="C214" i="2"/>
  <c r="C217" i="2"/>
  <c r="C381" i="1"/>
  <c r="C383" i="1"/>
  <c r="C215" i="2"/>
  <c r="C218" i="2"/>
  <c r="C384" i="1"/>
  <c r="C223" i="2"/>
  <c r="J386" i="1"/>
  <c r="J379" i="1"/>
  <c r="J339" i="1"/>
  <c r="J385" i="1"/>
  <c r="J344" i="1"/>
  <c r="J347" i="1"/>
  <c r="J381" i="1"/>
  <c r="J341" i="1"/>
  <c r="J340" i="1"/>
  <c r="J377" i="1"/>
  <c r="J345" i="1"/>
  <c r="J384" i="1"/>
  <c r="J342" i="1"/>
  <c r="J382" i="1"/>
  <c r="J343" i="1"/>
  <c r="J383" i="1"/>
  <c r="J380" i="1"/>
  <c r="J338" i="1"/>
  <c r="J387" i="1"/>
  <c r="J378" i="1"/>
  <c r="J346" i="1"/>
  <c r="B369" i="1"/>
  <c r="B361" i="1"/>
  <c r="B367" i="1"/>
  <c r="B360" i="1"/>
  <c r="B366" i="1"/>
  <c r="B373" i="1"/>
  <c r="B365" i="1"/>
  <c r="B372" i="1"/>
  <c r="B364" i="1"/>
  <c r="B358" i="1"/>
  <c r="B371" i="1"/>
  <c r="B363" i="1"/>
  <c r="B370" i="1"/>
  <c r="B362" i="1"/>
  <c r="B368" i="1"/>
  <c r="B318" i="1"/>
  <c r="D290" i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B48" i="1"/>
  <c r="B40" i="1"/>
  <c r="B41" i="1"/>
  <c r="B49" i="1"/>
  <c r="B42" i="1"/>
  <c r="B50" i="1"/>
  <c r="B43" i="1"/>
  <c r="B51" i="1"/>
  <c r="B44" i="1"/>
  <c r="B52" i="1"/>
  <c r="B45" i="1"/>
  <c r="B53" i="1"/>
  <c r="B46" i="1"/>
  <c r="B54" i="1"/>
  <c r="B47" i="1"/>
  <c r="B55" i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242" i="1"/>
  <c r="C243" i="1" s="1"/>
  <c r="E265" i="1"/>
  <c r="F265" i="1" s="1"/>
  <c r="D266" i="1"/>
  <c r="E266" i="1" s="1"/>
  <c r="F266" i="1" s="1"/>
  <c r="C229" i="1"/>
  <c r="C221" i="1"/>
  <c r="C232" i="1"/>
  <c r="C233" i="1"/>
  <c r="C224" i="1"/>
  <c r="C228" i="1"/>
  <c r="C231" i="1"/>
  <c r="C220" i="1"/>
  <c r="C223" i="1"/>
  <c r="C227" i="1"/>
  <c r="C226" i="1"/>
  <c r="C230" i="1"/>
  <c r="C219" i="1"/>
  <c r="C225" i="1"/>
  <c r="C222" i="1"/>
  <c r="C218" i="1"/>
  <c r="G399" i="1" s="1"/>
  <c r="E145" i="1"/>
  <c r="E125" i="1"/>
  <c r="E117" i="1"/>
  <c r="E130" i="1"/>
  <c r="E138" i="1"/>
  <c r="E116" i="1"/>
  <c r="E139" i="1"/>
  <c r="E123" i="1"/>
  <c r="E115" i="1"/>
  <c r="E132" i="1"/>
  <c r="E140" i="1"/>
  <c r="E122" i="1"/>
  <c r="E114" i="1"/>
  <c r="E133" i="1"/>
  <c r="E141" i="1"/>
  <c r="E124" i="1"/>
  <c r="E131" i="1"/>
  <c r="E121" i="1"/>
  <c r="E113" i="1"/>
  <c r="E134" i="1"/>
  <c r="E142" i="1"/>
  <c r="E120" i="1"/>
  <c r="E135" i="1"/>
  <c r="E143" i="1"/>
  <c r="E119" i="1"/>
  <c r="E111" i="1"/>
  <c r="E136" i="1"/>
  <c r="E144" i="1"/>
  <c r="E112" i="1"/>
  <c r="E118" i="1"/>
  <c r="E137" i="1"/>
  <c r="D115" i="1"/>
  <c r="F115" i="1" s="1"/>
  <c r="D124" i="1"/>
  <c r="F124" i="1" s="1"/>
  <c r="D125" i="1"/>
  <c r="F125" i="1" s="1"/>
  <c r="D117" i="1"/>
  <c r="F117" i="1" s="1"/>
  <c r="D116" i="1"/>
  <c r="F116" i="1" s="1"/>
  <c r="D123" i="1"/>
  <c r="F123" i="1" s="1"/>
  <c r="D122" i="1"/>
  <c r="F122" i="1" s="1"/>
  <c r="D114" i="1"/>
  <c r="F114" i="1" s="1"/>
  <c r="D121" i="1"/>
  <c r="F121" i="1" s="1"/>
  <c r="D113" i="1"/>
  <c r="F113" i="1" s="1"/>
  <c r="D120" i="1"/>
  <c r="F120" i="1" s="1"/>
  <c r="D112" i="1"/>
  <c r="F112" i="1" s="1"/>
  <c r="D119" i="1"/>
  <c r="F119" i="1" s="1"/>
  <c r="D111" i="1"/>
  <c r="F111" i="1" s="1"/>
  <c r="D118" i="1"/>
  <c r="F118" i="1" s="1"/>
  <c r="D132" i="1"/>
  <c r="F132" i="1" s="1"/>
  <c r="D134" i="1"/>
  <c r="F134" i="1" s="1"/>
  <c r="D133" i="1"/>
  <c r="F133" i="1" s="1"/>
  <c r="D130" i="1"/>
  <c r="F130" i="1" s="1"/>
  <c r="G130" i="1" s="1"/>
  <c r="D131" i="1"/>
  <c r="J189" i="2" l="1"/>
  <c r="D197" i="2" s="1"/>
  <c r="B166" i="2"/>
  <c r="B174" i="2"/>
  <c r="B167" i="2"/>
  <c r="B175" i="2"/>
  <c r="B168" i="2"/>
  <c r="B176" i="2"/>
  <c r="B169" i="2"/>
  <c r="B177" i="2"/>
  <c r="B170" i="2"/>
  <c r="B178" i="2"/>
  <c r="B171" i="2"/>
  <c r="B179" i="2"/>
  <c r="B165" i="2"/>
  <c r="B172" i="2"/>
  <c r="B180" i="2"/>
  <c r="B173" i="2"/>
  <c r="E120" i="2"/>
  <c r="E128" i="2"/>
  <c r="E78" i="2"/>
  <c r="F78" i="2" s="1"/>
  <c r="E86" i="2"/>
  <c r="F86" i="2" s="1"/>
  <c r="E77" i="2"/>
  <c r="F77" i="2" s="1"/>
  <c r="E121" i="2"/>
  <c r="E129" i="2"/>
  <c r="E79" i="2"/>
  <c r="F79" i="2" s="1"/>
  <c r="E87" i="2"/>
  <c r="F87" i="2" s="1"/>
  <c r="E122" i="2"/>
  <c r="E130" i="2"/>
  <c r="E80" i="2"/>
  <c r="F80" i="2" s="1"/>
  <c r="E88" i="2"/>
  <c r="F88" i="2" s="1"/>
  <c r="E123" i="2"/>
  <c r="E131" i="2"/>
  <c r="E81" i="2"/>
  <c r="F81" i="2" s="1"/>
  <c r="E89" i="2"/>
  <c r="F89" i="2" s="1"/>
  <c r="E124" i="2"/>
  <c r="E132" i="2"/>
  <c r="E82" i="2"/>
  <c r="F82" i="2" s="1"/>
  <c r="E90" i="2"/>
  <c r="F90" i="2" s="1"/>
  <c r="E125" i="2"/>
  <c r="E133" i="2"/>
  <c r="E83" i="2"/>
  <c r="F83" i="2" s="1"/>
  <c r="E91" i="2"/>
  <c r="F91" i="2" s="1"/>
  <c r="E126" i="2"/>
  <c r="E134" i="2"/>
  <c r="E84" i="2"/>
  <c r="F84" i="2" s="1"/>
  <c r="E92" i="2"/>
  <c r="F92" i="2" s="1"/>
  <c r="E127" i="2"/>
  <c r="E119" i="2"/>
  <c r="E85" i="2"/>
  <c r="F85" i="2" s="1"/>
  <c r="D370" i="1"/>
  <c r="E370" i="1"/>
  <c r="E363" i="1"/>
  <c r="D363" i="1"/>
  <c r="D372" i="1"/>
  <c r="E372" i="1"/>
  <c r="D365" i="1"/>
  <c r="E365" i="1"/>
  <c r="E358" i="1"/>
  <c r="D358" i="1"/>
  <c r="D368" i="1"/>
  <c r="E368" i="1"/>
  <c r="D373" i="1"/>
  <c r="E373" i="1"/>
  <c r="D364" i="1"/>
  <c r="E364" i="1"/>
  <c r="D366" i="1"/>
  <c r="E366" i="1"/>
  <c r="D369" i="1"/>
  <c r="E369" i="1"/>
  <c r="D361" i="1"/>
  <c r="E361" i="1"/>
  <c r="E360" i="1"/>
  <c r="D360" i="1"/>
  <c r="D362" i="1"/>
  <c r="E362" i="1"/>
  <c r="D371" i="1"/>
  <c r="E371" i="1"/>
  <c r="E359" i="1"/>
  <c r="D359" i="1"/>
  <c r="E367" i="1"/>
  <c r="D367" i="1"/>
  <c r="E330" i="1"/>
  <c r="D330" i="1"/>
  <c r="D328" i="1"/>
  <c r="E328" i="1"/>
  <c r="D326" i="1"/>
  <c r="E326" i="1"/>
  <c r="D324" i="1"/>
  <c r="E324" i="1"/>
  <c r="D322" i="1"/>
  <c r="E322" i="1"/>
  <c r="E320" i="1"/>
  <c r="D320" i="1"/>
  <c r="D333" i="1"/>
  <c r="E333" i="1"/>
  <c r="D329" i="1"/>
  <c r="E329" i="1"/>
  <c r="D331" i="1"/>
  <c r="E331" i="1"/>
  <c r="E325" i="1"/>
  <c r="D325" i="1"/>
  <c r="E327" i="1"/>
  <c r="D327" i="1"/>
  <c r="D321" i="1"/>
  <c r="E321" i="1"/>
  <c r="D323" i="1"/>
  <c r="E323" i="1"/>
  <c r="E318" i="1"/>
  <c r="D318" i="1"/>
  <c r="E332" i="1"/>
  <c r="D332" i="1"/>
  <c r="E319" i="1"/>
  <c r="D319" i="1"/>
  <c r="D209" i="1"/>
  <c r="D203" i="1"/>
  <c r="D207" i="1"/>
  <c r="D210" i="1"/>
  <c r="D202" i="1"/>
  <c r="D201" i="1"/>
  <c r="D195" i="1"/>
  <c r="D199" i="1"/>
  <c r="D196" i="1"/>
  <c r="D204" i="1"/>
  <c r="D205" i="1"/>
  <c r="D200" i="1"/>
  <c r="D206" i="1"/>
  <c r="D198" i="1"/>
  <c r="D197" i="1"/>
  <c r="D208" i="1"/>
  <c r="D182" i="1"/>
  <c r="D176" i="1"/>
  <c r="D180" i="1"/>
  <c r="D187" i="1"/>
  <c r="D177" i="1"/>
  <c r="D173" i="1"/>
  <c r="D184" i="1"/>
  <c r="D186" i="1"/>
  <c r="D185" i="1"/>
  <c r="D174" i="1"/>
  <c r="D181" i="1"/>
  <c r="D183" i="1"/>
  <c r="D179" i="1"/>
  <c r="D175" i="1"/>
  <c r="D178" i="1"/>
  <c r="D172" i="1"/>
  <c r="H110" i="1"/>
  <c r="I110" i="1" s="1"/>
  <c r="B64" i="1"/>
  <c r="C75" i="1"/>
  <c r="B66" i="1"/>
  <c r="C77" i="1"/>
  <c r="C76" i="1"/>
  <c r="B75" i="1"/>
  <c r="C70" i="1"/>
  <c r="C65" i="1"/>
  <c r="C64" i="1"/>
  <c r="B76" i="1"/>
  <c r="C67" i="1"/>
  <c r="B71" i="1"/>
  <c r="C66" i="1"/>
  <c r="B77" i="1"/>
  <c r="C72" i="1"/>
  <c r="C68" i="1"/>
  <c r="B67" i="1"/>
  <c r="B78" i="1"/>
  <c r="B73" i="1"/>
  <c r="B72" i="1"/>
  <c r="B74" i="1"/>
  <c r="B69" i="1"/>
  <c r="B68" i="1"/>
  <c r="C71" i="1"/>
  <c r="C63" i="1"/>
  <c r="C69" i="1"/>
  <c r="B63" i="1"/>
  <c r="C74" i="1"/>
  <c r="B70" i="1"/>
  <c r="B65" i="1"/>
  <c r="C73" i="1"/>
  <c r="C78" i="1"/>
  <c r="G397" i="1"/>
  <c r="F107" i="3" s="1"/>
  <c r="F358" i="1"/>
  <c r="C244" i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F393" i="1"/>
  <c r="G393" i="1"/>
  <c r="B267" i="1"/>
  <c r="C267" i="1" s="1"/>
  <c r="C111" i="1"/>
  <c r="G111" i="1" s="1"/>
  <c r="D135" i="1"/>
  <c r="F135" i="1" s="1"/>
  <c r="C131" i="1"/>
  <c r="C132" i="1" s="1"/>
  <c r="C133" i="1" s="1"/>
  <c r="F131" i="1"/>
  <c r="E89" i="1"/>
  <c r="D89" i="1" s="1"/>
  <c r="E97" i="1"/>
  <c r="D97" i="1" s="1"/>
  <c r="E92" i="1"/>
  <c r="D92" i="1" s="1"/>
  <c r="E86" i="1"/>
  <c r="D86" i="1" s="1"/>
  <c r="E100" i="1"/>
  <c r="D100" i="1" s="1"/>
  <c r="E88" i="1"/>
  <c r="D88" i="1" s="1"/>
  <c r="E91" i="1"/>
  <c r="D91" i="1" s="1"/>
  <c r="E94" i="1"/>
  <c r="D94" i="1" s="1"/>
  <c r="E90" i="1"/>
  <c r="D90" i="1" s="1"/>
  <c r="E96" i="1"/>
  <c r="D96" i="1" s="1"/>
  <c r="E95" i="1"/>
  <c r="D95" i="1" s="1"/>
  <c r="E93" i="1"/>
  <c r="D93" i="1" s="1"/>
  <c r="E98" i="1"/>
  <c r="D98" i="1" s="1"/>
  <c r="E85" i="1"/>
  <c r="E99" i="1"/>
  <c r="F359" i="1" l="1"/>
  <c r="G359" i="1" s="1"/>
  <c r="F363" i="1"/>
  <c r="G363" i="1" s="1"/>
  <c r="F319" i="1"/>
  <c r="H319" i="1" s="1"/>
  <c r="F324" i="1"/>
  <c r="G324" i="1" s="1"/>
  <c r="F364" i="1"/>
  <c r="H364" i="1" s="1"/>
  <c r="F365" i="1"/>
  <c r="G365" i="1" s="1"/>
  <c r="F361" i="1"/>
  <c r="H361" i="1" s="1"/>
  <c r="D206" i="2"/>
  <c r="D207" i="2"/>
  <c r="D196" i="2"/>
  <c r="D195" i="2"/>
  <c r="D201" i="2"/>
  <c r="D199" i="2"/>
  <c r="D200" i="2"/>
  <c r="D209" i="2"/>
  <c r="D203" i="2"/>
  <c r="D205" i="2"/>
  <c r="D198" i="2"/>
  <c r="D194" i="2"/>
  <c r="D202" i="2"/>
  <c r="D208" i="2"/>
  <c r="D204" i="2"/>
  <c r="I47" i="2"/>
  <c r="I36" i="2"/>
  <c r="I43" i="2"/>
  <c r="I44" i="2"/>
  <c r="I45" i="2"/>
  <c r="I39" i="2"/>
  <c r="I37" i="2"/>
  <c r="I50" i="2"/>
  <c r="I48" i="2"/>
  <c r="I46" i="2"/>
  <c r="I40" i="2"/>
  <c r="I42" i="2"/>
  <c r="I49" i="2"/>
  <c r="I41" i="2"/>
  <c r="I38" i="2"/>
  <c r="F367" i="1"/>
  <c r="F360" i="1"/>
  <c r="H365" i="1"/>
  <c r="H359" i="1"/>
  <c r="F373" i="1"/>
  <c r="F372" i="1"/>
  <c r="I358" i="1"/>
  <c r="H358" i="1"/>
  <c r="F371" i="1"/>
  <c r="F369" i="1"/>
  <c r="F368" i="1"/>
  <c r="F330" i="1"/>
  <c r="I330" i="1" s="1"/>
  <c r="F362" i="1"/>
  <c r="F366" i="1"/>
  <c r="F370" i="1"/>
  <c r="F332" i="1"/>
  <c r="I332" i="1" s="1"/>
  <c r="F327" i="1"/>
  <c r="G327" i="1" s="1"/>
  <c r="F328" i="1"/>
  <c r="I328" i="1" s="1"/>
  <c r="F323" i="1"/>
  <c r="H323" i="1" s="1"/>
  <c r="F331" i="1"/>
  <c r="G331" i="1" s="1"/>
  <c r="F321" i="1"/>
  <c r="F329" i="1"/>
  <c r="G319" i="1"/>
  <c r="I319" i="1"/>
  <c r="F333" i="1"/>
  <c r="F326" i="1"/>
  <c r="F325" i="1"/>
  <c r="F320" i="1"/>
  <c r="G330" i="1"/>
  <c r="F322" i="1"/>
  <c r="G132" i="1"/>
  <c r="H132" i="1" s="1"/>
  <c r="I132" i="1" s="1"/>
  <c r="G131" i="1"/>
  <c r="H131" i="1" s="1"/>
  <c r="I131" i="1" s="1"/>
  <c r="H111" i="1"/>
  <c r="I111" i="1" s="1"/>
  <c r="E175" i="1"/>
  <c r="E174" i="1"/>
  <c r="E176" i="1"/>
  <c r="E187" i="1"/>
  <c r="E184" i="1"/>
  <c r="E180" i="1"/>
  <c r="E186" i="1"/>
  <c r="E179" i="1"/>
  <c r="E178" i="1"/>
  <c r="E181" i="1"/>
  <c r="E177" i="1"/>
  <c r="E185" i="1"/>
  <c r="E173" i="1"/>
  <c r="E183" i="1"/>
  <c r="E182" i="1"/>
  <c r="J174" i="2"/>
  <c r="J176" i="2"/>
  <c r="J178" i="2"/>
  <c r="J180" i="2"/>
  <c r="D165" i="2"/>
  <c r="C165" i="2" s="1"/>
  <c r="D166" i="2"/>
  <c r="D168" i="2"/>
  <c r="D172" i="2"/>
  <c r="D170" i="2"/>
  <c r="D174" i="2"/>
  <c r="D176" i="2"/>
  <c r="D178" i="2"/>
  <c r="D180" i="2"/>
  <c r="D179" i="2"/>
  <c r="J170" i="2"/>
  <c r="J167" i="2"/>
  <c r="J169" i="2"/>
  <c r="J171" i="2"/>
  <c r="J173" i="2"/>
  <c r="J172" i="2"/>
  <c r="J175" i="2"/>
  <c r="J177" i="2"/>
  <c r="J179" i="2"/>
  <c r="J165" i="2"/>
  <c r="J166" i="2"/>
  <c r="J168" i="2"/>
  <c r="D167" i="2"/>
  <c r="D169" i="2"/>
  <c r="D171" i="2"/>
  <c r="D173" i="2"/>
  <c r="D175" i="2"/>
  <c r="D177" i="2"/>
  <c r="E196" i="1"/>
  <c r="E210" i="1"/>
  <c r="E204" i="1"/>
  <c r="E209" i="1"/>
  <c r="E205" i="1"/>
  <c r="E203" i="1"/>
  <c r="E198" i="1"/>
  <c r="E197" i="1"/>
  <c r="E208" i="1"/>
  <c r="E207" i="1"/>
  <c r="E202" i="1"/>
  <c r="E206" i="1"/>
  <c r="E201" i="1"/>
  <c r="E199" i="1"/>
  <c r="E200" i="1"/>
  <c r="H395" i="1"/>
  <c r="G105" i="3" s="1"/>
  <c r="D70" i="1"/>
  <c r="E70" i="1" s="1"/>
  <c r="D78" i="1"/>
  <c r="E78" i="1" s="1"/>
  <c r="D75" i="1"/>
  <c r="E75" i="1" s="1"/>
  <c r="D67" i="1"/>
  <c r="E67" i="1" s="1"/>
  <c r="D72" i="1"/>
  <c r="E72" i="1" s="1"/>
  <c r="D63" i="1"/>
  <c r="D69" i="1"/>
  <c r="E69" i="1" s="1"/>
  <c r="D73" i="1"/>
  <c r="E73" i="1" s="1"/>
  <c r="D74" i="1"/>
  <c r="E74" i="1" s="1"/>
  <c r="D77" i="1"/>
  <c r="E77" i="1" s="1"/>
  <c r="D71" i="1"/>
  <c r="E71" i="1" s="1"/>
  <c r="D64" i="1"/>
  <c r="E64" i="1" s="1"/>
  <c r="D76" i="1"/>
  <c r="E76" i="1" s="1"/>
  <c r="D65" i="1"/>
  <c r="E65" i="1" s="1"/>
  <c r="D68" i="1"/>
  <c r="E68" i="1" s="1"/>
  <c r="D66" i="1"/>
  <c r="E66" i="1" s="1"/>
  <c r="G259" i="2"/>
  <c r="F35" i="2"/>
  <c r="G35" i="2" s="1"/>
  <c r="D99" i="1"/>
  <c r="G358" i="1"/>
  <c r="G401" i="1"/>
  <c r="F318" i="1"/>
  <c r="D267" i="1"/>
  <c r="E267" i="1" s="1"/>
  <c r="F267" i="1" s="1"/>
  <c r="D85" i="1"/>
  <c r="G392" i="1" s="1"/>
  <c r="F392" i="1"/>
  <c r="C112" i="1"/>
  <c r="G112" i="1" s="1"/>
  <c r="D136" i="1"/>
  <c r="F136" i="1" s="1"/>
  <c r="H130" i="1"/>
  <c r="I130" i="1" s="1"/>
  <c r="I359" i="1" l="1"/>
  <c r="H330" i="1"/>
  <c r="H331" i="1"/>
  <c r="I331" i="1"/>
  <c r="I361" i="1"/>
  <c r="G361" i="1"/>
  <c r="I365" i="1"/>
  <c r="I363" i="1"/>
  <c r="I324" i="1"/>
  <c r="G364" i="1"/>
  <c r="I364" i="1"/>
  <c r="H328" i="1"/>
  <c r="H363" i="1"/>
  <c r="G332" i="1"/>
  <c r="G323" i="1"/>
  <c r="G328" i="1"/>
  <c r="H324" i="1"/>
  <c r="I368" i="1"/>
  <c r="G368" i="1"/>
  <c r="H368" i="1"/>
  <c r="I372" i="1"/>
  <c r="G372" i="1"/>
  <c r="H372" i="1"/>
  <c r="H369" i="1"/>
  <c r="I369" i="1"/>
  <c r="G369" i="1"/>
  <c r="I373" i="1"/>
  <c r="H373" i="1"/>
  <c r="G373" i="1"/>
  <c r="H332" i="1"/>
  <c r="I371" i="1"/>
  <c r="H371" i="1"/>
  <c r="G371" i="1"/>
  <c r="H370" i="1"/>
  <c r="G370" i="1"/>
  <c r="I370" i="1"/>
  <c r="G366" i="1"/>
  <c r="H366" i="1"/>
  <c r="I366" i="1"/>
  <c r="I362" i="1"/>
  <c r="G362" i="1"/>
  <c r="H362" i="1"/>
  <c r="G360" i="1"/>
  <c r="H360" i="1"/>
  <c r="I360" i="1"/>
  <c r="H367" i="1"/>
  <c r="G367" i="1"/>
  <c r="I367" i="1"/>
  <c r="I327" i="1"/>
  <c r="H327" i="1"/>
  <c r="I323" i="1"/>
  <c r="I320" i="1"/>
  <c r="G320" i="1"/>
  <c r="H320" i="1"/>
  <c r="G325" i="1"/>
  <c r="H325" i="1"/>
  <c r="I325" i="1"/>
  <c r="H322" i="1"/>
  <c r="I322" i="1"/>
  <c r="G322" i="1"/>
  <c r="I318" i="1"/>
  <c r="H318" i="1"/>
  <c r="H326" i="1"/>
  <c r="I326" i="1"/>
  <c r="G326" i="1"/>
  <c r="G329" i="1"/>
  <c r="H329" i="1"/>
  <c r="I329" i="1"/>
  <c r="I333" i="1"/>
  <c r="G333" i="1"/>
  <c r="H333" i="1"/>
  <c r="G321" i="1"/>
  <c r="H321" i="1"/>
  <c r="I321" i="1"/>
  <c r="G133" i="1"/>
  <c r="H133" i="1" s="1"/>
  <c r="I133" i="1" s="1"/>
  <c r="H112" i="1"/>
  <c r="I112" i="1" s="1"/>
  <c r="G120" i="2"/>
  <c r="F120" i="2"/>
  <c r="E177" i="2"/>
  <c r="C177" i="2"/>
  <c r="K167" i="2"/>
  <c r="I167" i="2"/>
  <c r="H86" i="2"/>
  <c r="G86" i="2"/>
  <c r="G78" i="2"/>
  <c r="H78" i="2"/>
  <c r="G257" i="2"/>
  <c r="H87" i="2"/>
  <c r="F257" i="2" s="1"/>
  <c r="G87" i="2"/>
  <c r="H257" i="2" s="1"/>
  <c r="E175" i="2"/>
  <c r="F258" i="2" s="1"/>
  <c r="H258" i="2"/>
  <c r="C175" i="2"/>
  <c r="G258" i="2" s="1"/>
  <c r="I179" i="2"/>
  <c r="K179" i="2"/>
  <c r="K170" i="2"/>
  <c r="I170" i="2"/>
  <c r="C168" i="2"/>
  <c r="E168" i="2"/>
  <c r="K165" i="2"/>
  <c r="F237" i="2" s="1"/>
  <c r="H237" i="2"/>
  <c r="I165" i="2"/>
  <c r="G237" i="2" s="1"/>
  <c r="E172" i="2"/>
  <c r="C172" i="2"/>
  <c r="G121" i="2"/>
  <c r="F121" i="2"/>
  <c r="G84" i="2"/>
  <c r="H84" i="2"/>
  <c r="H80" i="2"/>
  <c r="G80" i="2"/>
  <c r="F128" i="2"/>
  <c r="G128" i="2"/>
  <c r="H92" i="2"/>
  <c r="G92" i="2"/>
  <c r="E173" i="2"/>
  <c r="C173" i="2"/>
  <c r="K177" i="2"/>
  <c r="I177" i="2"/>
  <c r="E179" i="2"/>
  <c r="C179" i="2"/>
  <c r="E166" i="2"/>
  <c r="C166" i="2"/>
  <c r="G123" i="2"/>
  <c r="F123" i="2"/>
  <c r="G85" i="2"/>
  <c r="H85" i="2"/>
  <c r="G134" i="2"/>
  <c r="F134" i="2"/>
  <c r="G240" i="2"/>
  <c r="H77" i="2"/>
  <c r="F240" i="2" s="1"/>
  <c r="G77" i="2"/>
  <c r="H240" i="2" s="1"/>
  <c r="G133" i="2"/>
  <c r="F133" i="2"/>
  <c r="E171" i="2"/>
  <c r="C171" i="2"/>
  <c r="H254" i="2"/>
  <c r="K175" i="2"/>
  <c r="F254" i="2" s="1"/>
  <c r="I175" i="2"/>
  <c r="G254" i="2" s="1"/>
  <c r="E180" i="2"/>
  <c r="C180" i="2"/>
  <c r="E165" i="2"/>
  <c r="F241" i="2" s="1"/>
  <c r="G241" i="2"/>
  <c r="H241" i="2"/>
  <c r="G126" i="2"/>
  <c r="F126" i="2"/>
  <c r="G119" i="2"/>
  <c r="F235" i="2" s="1"/>
  <c r="F119" i="2"/>
  <c r="H235" i="2" s="1"/>
  <c r="G235" i="2"/>
  <c r="G127" i="2"/>
  <c r="F127" i="2"/>
  <c r="G130" i="2"/>
  <c r="F130" i="2"/>
  <c r="H83" i="2"/>
  <c r="G83" i="2"/>
  <c r="G124" i="2"/>
  <c r="F124" i="2"/>
  <c r="E63" i="1"/>
  <c r="F395" i="1" s="1"/>
  <c r="E105" i="3" s="1"/>
  <c r="G395" i="1"/>
  <c r="F105" i="3" s="1"/>
  <c r="E169" i="2"/>
  <c r="C169" i="2"/>
  <c r="K172" i="2"/>
  <c r="I172" i="2"/>
  <c r="E178" i="2"/>
  <c r="C178" i="2"/>
  <c r="K180" i="2"/>
  <c r="I180" i="2"/>
  <c r="G132" i="2"/>
  <c r="F132" i="2"/>
  <c r="H88" i="2"/>
  <c r="G88" i="2"/>
  <c r="E167" i="2"/>
  <c r="C167" i="2"/>
  <c r="I173" i="2"/>
  <c r="K173" i="2"/>
  <c r="E176" i="2"/>
  <c r="C176" i="2"/>
  <c r="I178" i="2"/>
  <c r="K178" i="2"/>
  <c r="G242" i="2"/>
  <c r="I35" i="2"/>
  <c r="F242" i="2" s="1"/>
  <c r="H35" i="2"/>
  <c r="H242" i="2" s="1"/>
  <c r="H89" i="2"/>
  <c r="G89" i="2"/>
  <c r="H90" i="2"/>
  <c r="G90" i="2"/>
  <c r="H91" i="2"/>
  <c r="G91" i="2"/>
  <c r="G129" i="2"/>
  <c r="F252" i="2" s="1"/>
  <c r="F129" i="2"/>
  <c r="H252" i="2" s="1"/>
  <c r="G252" i="2"/>
  <c r="F398" i="1"/>
  <c r="E195" i="1"/>
  <c r="G398" i="1" s="1"/>
  <c r="K168" i="2"/>
  <c r="I168" i="2"/>
  <c r="I171" i="2"/>
  <c r="K171" i="2"/>
  <c r="C174" i="2"/>
  <c r="E174" i="2"/>
  <c r="K176" i="2"/>
  <c r="I176" i="2"/>
  <c r="F122" i="2"/>
  <c r="G122" i="2"/>
  <c r="H81" i="2"/>
  <c r="G81" i="2"/>
  <c r="G131" i="2"/>
  <c r="F131" i="2"/>
  <c r="H82" i="2"/>
  <c r="G82" i="2"/>
  <c r="G79" i="2"/>
  <c r="H79" i="2"/>
  <c r="G125" i="2"/>
  <c r="F125" i="2"/>
  <c r="K166" i="2"/>
  <c r="I166" i="2"/>
  <c r="K169" i="2"/>
  <c r="I169" i="2"/>
  <c r="E170" i="2"/>
  <c r="C170" i="2"/>
  <c r="K174" i="2"/>
  <c r="I174" i="2"/>
  <c r="E172" i="1"/>
  <c r="G396" i="1" s="1"/>
  <c r="F396" i="1"/>
  <c r="J368" i="1"/>
  <c r="J363" i="1"/>
  <c r="J365" i="1"/>
  <c r="G318" i="1"/>
  <c r="F401" i="1"/>
  <c r="H259" i="2"/>
  <c r="B268" i="1"/>
  <c r="C268" i="1" s="1"/>
  <c r="C113" i="1"/>
  <c r="G113" i="1" s="1"/>
  <c r="D137" i="1"/>
  <c r="F137" i="1" s="1"/>
  <c r="C134" i="1" l="1"/>
  <c r="H113" i="1"/>
  <c r="I113" i="1" s="1"/>
  <c r="J372" i="1"/>
  <c r="J362" i="1"/>
  <c r="J370" i="1"/>
  <c r="J371" i="1"/>
  <c r="J318" i="1"/>
  <c r="J364" i="1"/>
  <c r="J366" i="1"/>
  <c r="J373" i="1"/>
  <c r="J360" i="1"/>
  <c r="J367" i="1"/>
  <c r="J321" i="1"/>
  <c r="J369" i="1"/>
  <c r="J327" i="1"/>
  <c r="J322" i="1"/>
  <c r="F259" i="2"/>
  <c r="J359" i="1"/>
  <c r="J361" i="1"/>
  <c r="J358" i="1"/>
  <c r="J325" i="1"/>
  <c r="J320" i="1"/>
  <c r="J319" i="1"/>
  <c r="D268" i="1"/>
  <c r="C114" i="1"/>
  <c r="G114" i="1" s="1"/>
  <c r="D138" i="1"/>
  <c r="F138" i="1" s="1"/>
  <c r="G134" i="1" l="1"/>
  <c r="H134" i="1" s="1"/>
  <c r="I134" i="1" s="1"/>
  <c r="C135" i="1"/>
  <c r="C136" i="1" s="1"/>
  <c r="C137" i="1" s="1"/>
  <c r="H114" i="1"/>
  <c r="I114" i="1" s="1"/>
  <c r="J332" i="1"/>
  <c r="J323" i="1"/>
  <c r="J326" i="1"/>
  <c r="J330" i="1"/>
  <c r="J324" i="1"/>
  <c r="E268" i="1"/>
  <c r="F268" i="1" s="1"/>
  <c r="B269" i="1"/>
  <c r="C115" i="1"/>
  <c r="G115" i="1" s="1"/>
  <c r="D139" i="1"/>
  <c r="F139" i="1" s="1"/>
  <c r="C269" i="1" l="1"/>
  <c r="D269" i="1" s="1"/>
  <c r="G135" i="1"/>
  <c r="H135" i="1" s="1"/>
  <c r="I135" i="1" s="1"/>
  <c r="G136" i="1"/>
  <c r="H136" i="1" s="1"/>
  <c r="I136" i="1" s="1"/>
  <c r="J331" i="1"/>
  <c r="J328" i="1"/>
  <c r="J329" i="1"/>
  <c r="H115" i="1"/>
  <c r="I115" i="1" s="1"/>
  <c r="C116" i="1"/>
  <c r="G116" i="1" s="1"/>
  <c r="D140" i="1"/>
  <c r="F140" i="1" s="1"/>
  <c r="E269" i="1" l="1"/>
  <c r="F269" i="1" s="1"/>
  <c r="B270" i="1"/>
  <c r="C270" i="1" s="1"/>
  <c r="D270" i="1" s="1"/>
  <c r="E270" i="1" s="1"/>
  <c r="F270" i="1" s="1"/>
  <c r="G137" i="1"/>
  <c r="H137" i="1" s="1"/>
  <c r="I137" i="1" s="1"/>
  <c r="J333" i="1"/>
  <c r="H116" i="1"/>
  <c r="I116" i="1" s="1"/>
  <c r="C117" i="1"/>
  <c r="G117" i="1" s="1"/>
  <c r="D141" i="1"/>
  <c r="F141" i="1" s="1"/>
  <c r="C138" i="1" l="1"/>
  <c r="G138" i="1" s="1"/>
  <c r="H138" i="1" s="1"/>
  <c r="I138" i="1" s="1"/>
  <c r="B271" i="1"/>
  <c r="C271" i="1" s="1"/>
  <c r="H117" i="1"/>
  <c r="I117" i="1" s="1"/>
  <c r="C118" i="1"/>
  <c r="G118" i="1" s="1"/>
  <c r="D142" i="1"/>
  <c r="F142" i="1" s="1"/>
  <c r="C139" i="1" l="1"/>
  <c r="G139" i="1" s="1"/>
  <c r="H139" i="1" s="1"/>
  <c r="I139" i="1" s="1"/>
  <c r="D271" i="1"/>
  <c r="E271" i="1" s="1"/>
  <c r="F271" i="1" s="1"/>
  <c r="H118" i="1"/>
  <c r="I118" i="1" s="1"/>
  <c r="C119" i="1"/>
  <c r="G119" i="1" s="1"/>
  <c r="D143" i="1"/>
  <c r="F143" i="1" s="1"/>
  <c r="C140" i="1" l="1"/>
  <c r="G140" i="1" s="1"/>
  <c r="H140" i="1" s="1"/>
  <c r="I140" i="1" s="1"/>
  <c r="B272" i="1"/>
  <c r="C272" i="1" s="1"/>
  <c r="H119" i="1"/>
  <c r="I119" i="1" s="1"/>
  <c r="C120" i="1"/>
  <c r="G120" i="1" s="1"/>
  <c r="D144" i="1"/>
  <c r="F144" i="1" s="1"/>
  <c r="D145" i="1"/>
  <c r="F145" i="1" s="1"/>
  <c r="C141" i="1" l="1"/>
  <c r="G141" i="1" s="1"/>
  <c r="H141" i="1" s="1"/>
  <c r="I141" i="1" s="1"/>
  <c r="D272" i="1"/>
  <c r="E272" i="1" s="1"/>
  <c r="F272" i="1" s="1"/>
  <c r="H120" i="1"/>
  <c r="I120" i="1" s="1"/>
  <c r="C121" i="1"/>
  <c r="G121" i="1" s="1"/>
  <c r="C142" i="1" l="1"/>
  <c r="G142" i="1" s="1"/>
  <c r="H142" i="1" s="1"/>
  <c r="I142" i="1" s="1"/>
  <c r="B273" i="1"/>
  <c r="C273" i="1" s="1"/>
  <c r="H121" i="1"/>
  <c r="I121" i="1" s="1"/>
  <c r="C122" i="1"/>
  <c r="G122" i="1" s="1"/>
  <c r="C143" i="1" l="1"/>
  <c r="G143" i="1" s="1"/>
  <c r="H143" i="1" s="1"/>
  <c r="I143" i="1" s="1"/>
  <c r="D273" i="1"/>
  <c r="E273" i="1" s="1"/>
  <c r="F273" i="1" s="1"/>
  <c r="H122" i="1"/>
  <c r="I122" i="1" s="1"/>
  <c r="C123" i="1"/>
  <c r="G123" i="1" s="1"/>
  <c r="C144" i="1" l="1"/>
  <c r="G144" i="1" s="1"/>
  <c r="H144" i="1" s="1"/>
  <c r="I144" i="1" s="1"/>
  <c r="B274" i="1"/>
  <c r="C274" i="1" s="1"/>
  <c r="H123" i="1"/>
  <c r="I123" i="1" s="1"/>
  <c r="C124" i="1"/>
  <c r="G124" i="1" s="1"/>
  <c r="C145" i="1" l="1"/>
  <c r="G145" i="1" s="1"/>
  <c r="H145" i="1" s="1"/>
  <c r="I145" i="1" s="1"/>
  <c r="D274" i="1"/>
  <c r="E274" i="1" s="1"/>
  <c r="F274" i="1" s="1"/>
  <c r="H124" i="1"/>
  <c r="I124" i="1" s="1"/>
  <c r="C125" i="1"/>
  <c r="G125" i="1" s="1"/>
  <c r="H125" i="1" l="1"/>
  <c r="I125" i="1" s="1"/>
  <c r="B275" i="1"/>
  <c r="C275" i="1" s="1"/>
  <c r="D275" i="1" l="1"/>
  <c r="E275" i="1" s="1"/>
  <c r="F275" i="1" s="1"/>
  <c r="E290" i="1"/>
  <c r="B276" i="1" l="1"/>
  <c r="C276" i="1" s="1"/>
  <c r="D276" i="1" l="1"/>
  <c r="E276" i="1" s="1"/>
  <c r="F276" i="1" s="1"/>
  <c r="E291" i="1"/>
  <c r="B277" i="1" l="1"/>
  <c r="C277" i="1" s="1"/>
  <c r="E292" i="1"/>
  <c r="D277" i="1" l="1"/>
  <c r="E277" i="1" s="1"/>
  <c r="F277" i="1" s="1"/>
  <c r="E293" i="1" l="1"/>
  <c r="B278" i="1"/>
  <c r="C278" i="1" s="1"/>
  <c r="D278" i="1" l="1"/>
  <c r="E278" i="1" s="1"/>
  <c r="F278" i="1" s="1"/>
  <c r="B279" i="1" l="1"/>
  <c r="C279" i="1" s="1"/>
  <c r="E294" i="1"/>
  <c r="D279" i="1" l="1"/>
  <c r="E279" i="1" s="1"/>
  <c r="F279" i="1" l="1"/>
  <c r="E295" i="1"/>
  <c r="E296" i="1" l="1"/>
  <c r="E297" i="1" l="1"/>
  <c r="E298" i="1" l="1"/>
  <c r="E299" i="1" l="1"/>
  <c r="E300" i="1" l="1"/>
  <c r="E301" i="1" l="1"/>
  <c r="E302" i="1" l="1"/>
  <c r="E303" i="1" l="1"/>
  <c r="E304" i="1" l="1"/>
  <c r="F196" i="2" l="1"/>
  <c r="I196" i="2" s="1"/>
  <c r="F194" i="2"/>
  <c r="I194" i="2" s="1"/>
  <c r="F195" i="2"/>
  <c r="I195" i="2" s="1"/>
  <c r="F198" i="2"/>
  <c r="I198" i="2" s="1"/>
  <c r="F197" i="2"/>
  <c r="I197" i="2" s="1"/>
  <c r="F142" i="2"/>
  <c r="G142" i="2" s="1"/>
  <c r="F99" i="2"/>
  <c r="G99" i="2" s="1"/>
  <c r="F107" i="2"/>
  <c r="G107" i="2" s="1"/>
  <c r="F143" i="2"/>
  <c r="G143" i="2" s="1"/>
  <c r="F151" i="2"/>
  <c r="G151" i="2" s="1"/>
  <c r="F100" i="2"/>
  <c r="G100" i="2" s="1"/>
  <c r="F144" i="2"/>
  <c r="G144" i="2" s="1"/>
  <c r="F152" i="2"/>
  <c r="G152" i="2" s="1"/>
  <c r="F101" i="2"/>
  <c r="G101" i="2" s="1"/>
  <c r="F109" i="2"/>
  <c r="G109" i="2" s="1"/>
  <c r="F145" i="2"/>
  <c r="G145" i="2" s="1"/>
  <c r="F153" i="2"/>
  <c r="G153" i="2" s="1"/>
  <c r="F102" i="2"/>
  <c r="G102" i="2" s="1"/>
  <c r="F110" i="2"/>
  <c r="G110" i="2" s="1"/>
  <c r="F146" i="2"/>
  <c r="G146" i="2" s="1"/>
  <c r="F154" i="2"/>
  <c r="G154" i="2" s="1"/>
  <c r="F103" i="2"/>
  <c r="G103" i="2" s="1"/>
  <c r="F111" i="2"/>
  <c r="G111" i="2" s="1"/>
  <c r="F106" i="2"/>
  <c r="G106" i="2" s="1"/>
  <c r="F147" i="2"/>
  <c r="G147" i="2" s="1"/>
  <c r="F155" i="2"/>
  <c r="G155" i="2" s="1"/>
  <c r="F104" i="2"/>
  <c r="G104" i="2" s="1"/>
  <c r="F112" i="2"/>
  <c r="G112" i="2" s="1"/>
  <c r="F148" i="2"/>
  <c r="G148" i="2" s="1"/>
  <c r="F105" i="2"/>
  <c r="G105" i="2" s="1"/>
  <c r="F113" i="2"/>
  <c r="G113" i="2" s="1"/>
  <c r="F141" i="2"/>
  <c r="G141" i="2" s="1"/>
  <c r="F149" i="2"/>
  <c r="G149" i="2" s="1"/>
  <c r="F57" i="2"/>
  <c r="G57" i="2" s="1"/>
  <c r="H57" i="2" s="1"/>
  <c r="F61" i="2"/>
  <c r="G61" i="2" s="1"/>
  <c r="H61" i="2" s="1"/>
  <c r="F65" i="2"/>
  <c r="G65" i="2" s="1"/>
  <c r="H65" i="2" s="1"/>
  <c r="F69" i="2"/>
  <c r="G69" i="2" s="1"/>
  <c r="H69" i="2" s="1"/>
  <c r="F58" i="2"/>
  <c r="G58" i="2" s="1"/>
  <c r="H58" i="2" s="1"/>
  <c r="F62" i="2"/>
  <c r="G62" i="2" s="1"/>
  <c r="H62" i="2" s="1"/>
  <c r="F64" i="2"/>
  <c r="G64" i="2" s="1"/>
  <c r="H64" i="2" s="1"/>
  <c r="F66" i="2"/>
  <c r="F70" i="2"/>
  <c r="G70" i="2" s="1"/>
  <c r="H70" i="2" s="1"/>
  <c r="F68" i="2"/>
  <c r="G68" i="2" s="1"/>
  <c r="H68" i="2" s="1"/>
  <c r="F67" i="2"/>
  <c r="G67" i="2" s="1"/>
  <c r="H67" i="2" s="1"/>
  <c r="F56" i="2"/>
  <c r="F239" i="2" s="1"/>
  <c r="F59" i="2"/>
  <c r="G59" i="2" s="1"/>
  <c r="H59" i="2" s="1"/>
  <c r="F63" i="2"/>
  <c r="G63" i="2" s="1"/>
  <c r="H63" i="2" s="1"/>
  <c r="F60" i="2"/>
  <c r="G60" i="2" s="1"/>
  <c r="H60" i="2" s="1"/>
  <c r="F71" i="2"/>
  <c r="G71" i="2" s="1"/>
  <c r="H71" i="2" s="1"/>
  <c r="G194" i="2" l="1"/>
  <c r="G195" i="2"/>
  <c r="J195" i="2" s="1"/>
  <c r="G197" i="2"/>
  <c r="G198" i="2"/>
  <c r="J198" i="2" s="1"/>
  <c r="G196" i="2"/>
  <c r="G238" i="2"/>
  <c r="F98" i="2"/>
  <c r="F243" i="2"/>
  <c r="G56" i="2"/>
  <c r="F140" i="2"/>
  <c r="F236" i="2"/>
  <c r="F150" i="2"/>
  <c r="F253" i="2"/>
  <c r="F108" i="2"/>
  <c r="F260" i="2"/>
  <c r="G66" i="2"/>
  <c r="F256" i="2"/>
  <c r="H194" i="2" l="1"/>
  <c r="F238" i="2" s="1"/>
  <c r="J194" i="2"/>
  <c r="K194" i="2" s="1"/>
  <c r="H196" i="2"/>
  <c r="J196" i="2"/>
  <c r="K196" i="2" s="1"/>
  <c r="H197" i="2"/>
  <c r="J197" i="2"/>
  <c r="K197" i="2" s="1"/>
  <c r="F201" i="2"/>
  <c r="I201" i="2" s="1"/>
  <c r="F200" i="2"/>
  <c r="I200" i="2" s="1"/>
  <c r="K195" i="2"/>
  <c r="F202" i="2"/>
  <c r="I202" i="2" s="1"/>
  <c r="F203" i="2"/>
  <c r="I203" i="2" s="1"/>
  <c r="K198" i="2"/>
  <c r="H195" i="2"/>
  <c r="H198" i="2"/>
  <c r="H238" i="2"/>
  <c r="F199" i="2"/>
  <c r="I199" i="2" s="1"/>
  <c r="G140" i="2"/>
  <c r="H236" i="2" s="1"/>
  <c r="G236" i="2"/>
  <c r="H66" i="2"/>
  <c r="H256" i="2" s="1"/>
  <c r="G256" i="2"/>
  <c r="H56" i="2"/>
  <c r="H239" i="2" s="1"/>
  <c r="G239" i="2"/>
  <c r="G108" i="2"/>
  <c r="H260" i="2" s="1"/>
  <c r="G260" i="2"/>
  <c r="G98" i="2"/>
  <c r="H243" i="2" s="1"/>
  <c r="G243" i="2"/>
  <c r="G150" i="2"/>
  <c r="H253" i="2" s="1"/>
  <c r="G253" i="2"/>
  <c r="G203" i="2" l="1"/>
  <c r="J203" i="2" s="1"/>
  <c r="G202" i="2"/>
  <c r="J202" i="2" s="1"/>
  <c r="G200" i="2"/>
  <c r="J200" i="2" s="1"/>
  <c r="G201" i="2"/>
  <c r="J201" i="2" s="1"/>
  <c r="G199" i="2"/>
  <c r="J199" i="2" s="1"/>
  <c r="F206" i="2" l="1"/>
  <c r="I206" i="2" s="1"/>
  <c r="K201" i="2"/>
  <c r="H201" i="2"/>
  <c r="F208" i="2"/>
  <c r="I208" i="2" s="1"/>
  <c r="K203" i="2"/>
  <c r="H203" i="2"/>
  <c r="F207" i="2"/>
  <c r="I207" i="2" s="1"/>
  <c r="K202" i="2"/>
  <c r="H202" i="2"/>
  <c r="F205" i="2"/>
  <c r="I205" i="2" s="1"/>
  <c r="K200" i="2"/>
  <c r="H200" i="2"/>
  <c r="F204" i="2"/>
  <c r="I204" i="2" s="1"/>
  <c r="K199" i="2"/>
  <c r="H199" i="2"/>
  <c r="G206" i="2" l="1"/>
  <c r="J206" i="2" s="1"/>
  <c r="G208" i="2"/>
  <c r="J208" i="2" s="1"/>
  <c r="G207" i="2"/>
  <c r="J207" i="2" s="1"/>
  <c r="G205" i="2"/>
  <c r="J205" i="2" s="1"/>
  <c r="G204" i="2"/>
  <c r="J204" i="2" s="1"/>
  <c r="G255" i="2"/>
  <c r="K205" i="2" l="1"/>
  <c r="H205" i="2"/>
  <c r="K206" i="2"/>
  <c r="H206" i="2"/>
  <c r="K207" i="2"/>
  <c r="H207" i="2"/>
  <c r="K208" i="2"/>
  <c r="H208" i="2"/>
  <c r="F209" i="2"/>
  <c r="I209" i="2" s="1"/>
  <c r="H255" i="2"/>
  <c r="K204" i="2"/>
  <c r="H204" i="2"/>
  <c r="F255" i="2" s="1"/>
  <c r="G209" i="2" l="1"/>
  <c r="J209" i="2" s="1"/>
  <c r="K209" i="2" l="1"/>
  <c r="H209" i="2"/>
</calcChain>
</file>

<file path=xl/comments1.xml><?xml version="1.0" encoding="utf-8"?>
<comments xmlns="http://schemas.openxmlformats.org/spreadsheetml/2006/main">
  <authors>
    <author>fresheneesz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The amount of bandwidth available to use over the "Sync Time"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The amount of bandwidth available to use over the "Sync Time"</t>
        </r>
      </text>
    </comment>
  </commentList>
</comments>
</file>

<file path=xl/comments2.xml><?xml version="1.0" encoding="utf-8"?>
<comments xmlns="http://schemas.openxmlformats.org/spreadsheetml/2006/main">
  <authors>
    <author>fresheneesz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The amount of bandwidth available to use over the "Sync Time"</t>
        </r>
      </text>
    </comment>
    <comment ref="D37" authorId="0">
      <text>
        <r>
          <rPr>
            <b/>
            <sz val="9"/>
            <color indexed="81"/>
            <rFont val="Tahoma"/>
            <charset val="1"/>
          </rPr>
          <t>This is the historical blockchain + the blockchain after the assumevalid block.</t>
        </r>
      </text>
    </comment>
  </commentList>
</comments>
</file>

<file path=xl/comments3.xml><?xml version="1.0" encoding="utf-8"?>
<comments xmlns="http://schemas.openxmlformats.org/spreadsheetml/2006/main">
  <authors>
    <author>fresheneesz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The amount of bandwidth available to use over the "Sync Time"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The amount of bandwidth available to use over the "Sync Time"</t>
        </r>
      </text>
    </comment>
  </commentList>
</comments>
</file>

<file path=xl/sharedStrings.xml><?xml version="1.0" encoding="utf-8"?>
<sst xmlns="http://schemas.openxmlformats.org/spreadsheetml/2006/main" count="1001" uniqueCount="316">
  <si>
    <t>User Type</t>
  </si>
  <si>
    <t>Bandwidth</t>
  </si>
  <si>
    <t>Disk Space</t>
  </si>
  <si>
    <t>Memory</t>
  </si>
  <si>
    <t>∞</t>
  </si>
  <si>
    <t>Initial Block Download</t>
  </si>
  <si>
    <t>Target User:</t>
  </si>
  <si>
    <t>t (years)</t>
  </si>
  <si>
    <t>Growth</t>
  </si>
  <si>
    <t>syncTime</t>
  </si>
  <si>
    <t>CPU power</t>
  </si>
  <si>
    <t>Constants:</t>
  </si>
  <si>
    <t>Seconds/year</t>
  </si>
  <si>
    <t>Max Growth</t>
  </si>
  <si>
    <t>Sync Time</t>
  </si>
  <si>
    <t xml:space="preserve"> Resources</t>
  </si>
  <si>
    <t>Max Blocksize</t>
  </si>
  <si>
    <t>Seconds/block</t>
  </si>
  <si>
    <t>KB/GB</t>
  </si>
  <si>
    <t>Tps</t>
  </si>
  <si>
    <t>Initial Sync Validation (without assumevalid)</t>
  </si>
  <si>
    <t>Assumevalid</t>
  </si>
  <si>
    <t>speedup</t>
  </si>
  <si>
    <t xml:space="preserve">Assumevalid date </t>
  </si>
  <si>
    <t>(max days ago)</t>
  </si>
  <si>
    <t>transactions</t>
  </si>
  <si>
    <t>Transactions</t>
  </si>
  <si>
    <t>Adjusted</t>
  </si>
  <si>
    <t>Equivalent</t>
  </si>
  <si>
    <t>Max</t>
  </si>
  <si>
    <t>Blocksize</t>
  </si>
  <si>
    <t>UTXO</t>
  </si>
  <si>
    <t>Growth Rate</t>
  </si>
  <si>
    <t>UTXO Size</t>
  </si>
  <si>
    <t>Size of Current</t>
  </si>
  <si>
    <t>UTXO Set</t>
  </si>
  <si>
    <t>Ongoing</t>
  </si>
  <si>
    <t>Max Blockchain</t>
  </si>
  <si>
    <t>Near-Optimal</t>
  </si>
  <si>
    <t>In-Memory</t>
  </si>
  <si>
    <t>Expand</t>
  </si>
  <si>
    <t>Memory Use</t>
  </si>
  <si>
    <t>Max UTXO</t>
  </si>
  <si>
    <t>Expected</t>
  </si>
  <si>
    <t>Size</t>
  </si>
  <si>
    <t>UTXO Set Disk Usage</t>
  </si>
  <si>
    <t>UTXO Set Memory Usage</t>
  </si>
  <si>
    <t>Blockchain &amp; UTXO Disk Usage</t>
  </si>
  <si>
    <t>Disk Use</t>
  </si>
  <si>
    <t>Current</t>
  </si>
  <si>
    <t>Current Max</t>
  </si>
  <si>
    <t>Ongoing Transaction Validation</t>
  </si>
  <si>
    <t>Max Tps</t>
  </si>
  <si>
    <t>Ongoing Transaction Download &amp; Upload</t>
  </si>
  <si>
    <t>Connections</t>
  </si>
  <si>
    <t>maxTps</t>
  </si>
  <si>
    <t>Nodes</t>
  </si>
  <si>
    <t>Memory %</t>
  </si>
  <si>
    <t xml:space="preserve">UTXO </t>
  </si>
  <si>
    <t>size</t>
  </si>
  <si>
    <t>inv Data</t>
  </si>
  <si>
    <t>Transaction Data</t>
  </si>
  <si>
    <t>Summary of the Above for the Current Year</t>
  </si>
  <si>
    <t xml:space="preserve">UTXO Set Memory Usage </t>
  </si>
  <si>
    <t>Target User</t>
  </si>
  <si>
    <t>Max TPS</t>
  </si>
  <si>
    <t>Initial Sync Validation (using assumevalid)</t>
  </si>
  <si>
    <t>Blockchain Size</t>
  </si>
  <si>
    <t>Block Size</t>
  </si>
  <si>
    <t>Blockchain + UTXO Disk Usage</t>
  </si>
  <si>
    <t>Public</t>
  </si>
  <si>
    <t>Private</t>
  </si>
  <si>
    <t>UTXO Disk Usage</t>
  </si>
  <si>
    <t>(percentile)</t>
  </si>
  <si>
    <t>Avg</t>
  </si>
  <si>
    <t>90th %ile</t>
  </si>
  <si>
    <t>10th %ile</t>
  </si>
  <si>
    <t>Historical Block Download (using assumeutxo)</t>
  </si>
  <si>
    <t>Historical UTXO Set Validation (using assumeutxo)</t>
  </si>
  <si>
    <t>Historical</t>
  </si>
  <si>
    <t>Recent</t>
  </si>
  <si>
    <t>Initial Block and UTXO set Download (using assumeutxo)</t>
  </si>
  <si>
    <t>Max Download</t>
  </si>
  <si>
    <t>Initial Transaction Validation (using assumeutxo)</t>
  </si>
  <si>
    <t xml:space="preserve">Max Chain </t>
  </si>
  <si>
    <t>Summary of changes with assumeutxo</t>
  </si>
  <si>
    <t>IBD and UTXO set Download (assumeutxo)</t>
  </si>
  <si>
    <t>Chain Size</t>
  </si>
  <si>
    <t>Max Historical</t>
  </si>
  <si>
    <t>Max Total</t>
  </si>
  <si>
    <t>Historical UTXO Set Validation (assumeutxo)</t>
  </si>
  <si>
    <t>Initial Transaction Validation (assumeutxo)</t>
  </si>
  <si>
    <t>Historical Block Download (assumeutxo)</t>
  </si>
  <si>
    <t>Ongoing Transaction Download &amp; Upload (90th %ile)</t>
  </si>
  <si>
    <t>Ongoing Transaction Download &amp; Upload (10th %ile)</t>
  </si>
  <si>
    <t>TPS</t>
  </si>
  <si>
    <t>Avg Merkle</t>
  </si>
  <si>
    <t>Proof Size</t>
  </si>
  <si>
    <t>Users</t>
  </si>
  <si>
    <t xml:space="preserve">UTXOs </t>
  </si>
  <si>
    <t>per User</t>
  </si>
  <si>
    <t>In Memory</t>
  </si>
  <si>
    <t xml:space="preserve">Min </t>
  </si>
  <si>
    <t>Security Goal</t>
  </si>
  <si>
    <t xml:space="preserve">50% Eclipse </t>
  </si>
  <si>
    <t>Emergency</t>
  </si>
  <si>
    <t>Resource</t>
  </si>
  <si>
    <t>Usage</t>
  </si>
  <si>
    <t>Transaction</t>
  </si>
  <si>
    <t>Avg Size per</t>
  </si>
  <si>
    <t>Avg UTXOs per</t>
  </si>
  <si>
    <t>Lightning Channels</t>
  </si>
  <si>
    <t>Avg Channels</t>
  </si>
  <si>
    <t>Channel</t>
  </si>
  <si>
    <t>Timelock Time</t>
  </si>
  <si>
    <t>Required</t>
  </si>
  <si>
    <t>Expected Growth Over Time</t>
  </si>
  <si>
    <t>Ongoing Download and Upload</t>
  </si>
  <si>
    <t>Future throughput</t>
  </si>
  <si>
    <t>Future throughput summary (based on today's machine resources)</t>
  </si>
  <si>
    <t>Future throughput summary (based on expect machine resources avaliable 10 years from now)</t>
  </si>
  <si>
    <t>Target Users:</t>
  </si>
  <si>
    <t>Latency</t>
  </si>
  <si>
    <t>Compact Block</t>
  </si>
  <si>
    <t>Average</t>
  </si>
  <si>
    <t>Compactness</t>
  </si>
  <si>
    <t>Maximum</t>
  </si>
  <si>
    <t>Hops</t>
  </si>
  <si>
    <t>Advantage</t>
  </si>
  <si>
    <t>For Target Size</t>
  </si>
  <si>
    <t>Target Miner</t>
  </si>
  <si>
    <t xml:space="preserve">Maximum </t>
  </si>
  <si>
    <t>Time Spent</t>
  </si>
  <si>
    <t>Validating</t>
  </si>
  <si>
    <t>Transfering</t>
  </si>
  <si>
    <t>for Latency</t>
  </si>
  <si>
    <t>Distance</t>
  </si>
  <si>
    <t>Last-mile</t>
  </si>
  <si>
    <t>Total</t>
  </si>
  <si>
    <t>~ %</t>
  </si>
  <si>
    <t>of Users</t>
  </si>
  <si>
    <t>Time spent for</t>
  </si>
  <si>
    <t>Maximum avg</t>
  </si>
  <si>
    <t>Propagation</t>
  </si>
  <si>
    <t>Time</t>
  </si>
  <si>
    <t>Latency-based Miner Centralization (No FIBRE, No Sybil)</t>
  </si>
  <si>
    <t>Block</t>
  </si>
  <si>
    <t xml:space="preserve">Compact </t>
  </si>
  <si>
    <t>Missing</t>
  </si>
  <si>
    <t>Transaction Rate</t>
  </si>
  <si>
    <t>(Cumulative by distance)</t>
  </si>
  <si>
    <t>Estimated Latency By Group</t>
  </si>
  <si>
    <t>Sybil</t>
  </si>
  <si>
    <t>Percent</t>
  </si>
  <si>
    <t>Minimum</t>
  </si>
  <si>
    <t>Speed-of-light</t>
  </si>
  <si>
    <t>Latency-based Miner Centralization (w/sybil)</t>
  </si>
  <si>
    <t>All</t>
  </si>
  <si>
    <t>Latency-based Miner Centralization (No FIBRE, With Sybil)</t>
  </si>
  <si>
    <t>Latency-based Miner Centralization (No FIBRE,With Sybil)</t>
  </si>
  <si>
    <t>Future</t>
  </si>
  <si>
    <t>Slowest-link</t>
  </si>
  <si>
    <t>(for Data Trafer)</t>
  </si>
  <si>
    <t>(for Validation)</t>
  </si>
  <si>
    <t>Tx Size</t>
  </si>
  <si>
    <t>inv msg</t>
  </si>
  <si>
    <t>Check</t>
  </si>
  <si>
    <t xml:space="preserve">Time Sanity </t>
  </si>
  <si>
    <t>Promixity</t>
  </si>
  <si>
    <t>Favoring</t>
  </si>
  <si>
    <t>Factor</t>
  </si>
  <si>
    <t>Effective</t>
  </si>
  <si>
    <t>Initial Sync Download</t>
  </si>
  <si>
    <t>Initial Sync Validation</t>
  </si>
  <si>
    <t>Merkle Levels</t>
  </si>
  <si>
    <t>Max Memory</t>
  </si>
  <si>
    <t>Download</t>
  </si>
  <si>
    <t>Max Chain</t>
  </si>
  <si>
    <t xml:space="preserve">Equivalent </t>
  </si>
  <si>
    <t xml:space="preserve">Non-Utreexo </t>
  </si>
  <si>
    <t>Ongoing Validation</t>
  </si>
  <si>
    <t>tps</t>
  </si>
  <si>
    <t>Emergency Download and Upload</t>
  </si>
  <si>
    <t>Emergency Validation</t>
  </si>
  <si>
    <t>Max Data</t>
  </si>
  <si>
    <t>Transfer</t>
  </si>
  <si>
    <t>Validation</t>
  </si>
  <si>
    <t>Nodes Using</t>
  </si>
  <si>
    <t>SPV</t>
  </si>
  <si>
    <t>Transfer/block</t>
  </si>
  <si>
    <t>Neutrino</t>
  </si>
  <si>
    <t>Ongoing Block download</t>
  </si>
  <si>
    <t>Data</t>
  </si>
  <si>
    <t>Data Cap</t>
  </si>
  <si>
    <t>Avg Bandwidth</t>
  </si>
  <si>
    <t>Montly</t>
  </si>
  <si>
    <t>GB/Megabit</t>
  </si>
  <si>
    <t>Blockchain</t>
  </si>
  <si>
    <t xml:space="preserve">Avg </t>
  </si>
  <si>
    <t>Non</t>
  </si>
  <si>
    <t>Filter size</t>
  </si>
  <si>
    <t>Ratio</t>
  </si>
  <si>
    <t>Est. Current</t>
  </si>
  <si>
    <t># of Users</t>
  </si>
  <si>
    <t>Numbers used for calculations:</t>
  </si>
  <si>
    <t>Boundary numbers (copy and paste them to the numbers used for calculations):</t>
  </si>
  <si>
    <t>10th - Min</t>
  </si>
  <si>
    <t>90th - Min</t>
  </si>
  <si>
    <t>10th - Max</t>
  </si>
  <si>
    <t>90th - Max</t>
  </si>
  <si>
    <t>0.3 - 30.7</t>
  </si>
  <si>
    <t>0.7 - 3.2</t>
  </si>
  <si>
    <t>9.2 - 455</t>
  </si>
  <si>
    <t>20 - 200</t>
  </si>
  <si>
    <t>50 - 500</t>
  </si>
  <si>
    <t>Safe Cutoff</t>
  </si>
  <si>
    <t>209 KB - 923 KB</t>
  </si>
  <si>
    <r>
      <t xml:space="preserve">5.7 </t>
    </r>
    <r>
      <rPr>
        <b/>
        <sz val="11"/>
        <color theme="1"/>
        <rFont val="Calibri"/>
        <family val="2"/>
        <scheme val="minor"/>
      </rPr>
      <t>MB</t>
    </r>
    <r>
      <rPr>
        <sz val="11"/>
        <color theme="1"/>
        <rFont val="Calibri"/>
        <family val="2"/>
        <scheme val="minor"/>
      </rPr>
      <t xml:space="preserve"> - 57.0 </t>
    </r>
    <r>
      <rPr>
        <b/>
        <sz val="11"/>
        <color theme="1"/>
        <rFont val="Calibri"/>
        <family val="2"/>
        <scheme val="minor"/>
      </rPr>
      <t>MB</t>
    </r>
  </si>
  <si>
    <r>
      <t xml:space="preserve">2.6 </t>
    </r>
    <r>
      <rPr>
        <b/>
        <sz val="11"/>
        <color theme="1"/>
        <rFont val="Calibri"/>
        <family val="2"/>
        <scheme val="minor"/>
      </rPr>
      <t>MB</t>
    </r>
    <r>
      <rPr>
        <sz val="11"/>
        <color theme="1"/>
        <rFont val="Calibri"/>
        <family val="2"/>
        <scheme val="minor"/>
      </rPr>
      <t xml:space="preserve"> - 129.7 </t>
    </r>
    <r>
      <rPr>
        <b/>
        <sz val="11"/>
        <color theme="1"/>
        <rFont val="Calibri"/>
        <family val="2"/>
        <scheme val="minor"/>
      </rPr>
      <t>MB</t>
    </r>
  </si>
  <si>
    <r>
      <t xml:space="preserve">14.2 </t>
    </r>
    <r>
      <rPr>
        <b/>
        <sz val="11"/>
        <color theme="1"/>
        <rFont val="Calibri"/>
        <family val="2"/>
        <scheme val="minor"/>
      </rPr>
      <t xml:space="preserve">MB </t>
    </r>
    <r>
      <rPr>
        <sz val="11"/>
        <color theme="1"/>
        <rFont val="Calibri"/>
        <family val="2"/>
        <scheme val="minor"/>
      </rPr>
      <t xml:space="preserve">- 142.7 </t>
    </r>
    <r>
      <rPr>
        <b/>
        <sz val="11"/>
        <color theme="1"/>
        <rFont val="Calibri"/>
        <family val="2"/>
        <scheme val="minor"/>
      </rPr>
      <t>MB</t>
    </r>
  </si>
  <si>
    <t>43 GB - 431 GB</t>
  </si>
  <si>
    <t>47 GB -197 GB</t>
  </si>
  <si>
    <t>25 GB - 50 GB</t>
  </si>
  <si>
    <t>1st - Min</t>
  </si>
  <si>
    <t>1st - Max</t>
  </si>
  <si>
    <t>Summary of Ranges for the Above for the Current Year (note that these are static, and not dyanamically updated)</t>
  </si>
  <si>
    <t>17 - 167</t>
  </si>
  <si>
    <t>100 - 1000</t>
  </si>
  <si>
    <t>21 - 107</t>
  </si>
  <si>
    <t>750 - 7,500</t>
  </si>
  <si>
    <t>Safe Cutoff (Emergency)</t>
  </si>
  <si>
    <t>Safe Cutoff (Normal)</t>
  </si>
  <si>
    <t>Max # of</t>
  </si>
  <si>
    <t>UTXOs</t>
  </si>
  <si>
    <t>85 MB - 844 MB</t>
  </si>
  <si>
    <t>4 MB - 37 MB</t>
  </si>
  <si>
    <t>11 MB - 113 MB</t>
  </si>
  <si>
    <t>19 MB - 39 MB</t>
  </si>
  <si>
    <t>214 MB - 2,138 MB</t>
  </si>
  <si>
    <t>6 MB - 30 MB</t>
  </si>
  <si>
    <t>80 - 800</t>
  </si>
  <si>
    <t>199 - 995</t>
  </si>
  <si>
    <t>480 - 4,800</t>
  </si>
  <si>
    <t>23 MB - 230 MB</t>
  </si>
  <si>
    <t>57 MB - 284 MB</t>
  </si>
  <si>
    <r>
      <t xml:space="preserve">137 MB - 1.3 </t>
    </r>
    <r>
      <rPr>
        <b/>
        <sz val="11"/>
        <color theme="1"/>
        <rFont val="Calibri"/>
        <family val="2"/>
        <scheme val="minor"/>
      </rPr>
      <t>GB</t>
    </r>
  </si>
  <si>
    <t>Utreexo</t>
  </si>
  <si>
    <t>Merkle Hash</t>
  </si>
  <si>
    <t>Neutrino SPV nodes</t>
  </si>
  <si>
    <t>Neutrino SPV Initial Block Download</t>
  </si>
  <si>
    <t>Neutrino SPV Ongoing Block Download</t>
  </si>
  <si>
    <r>
      <t xml:space="preserve">1 </t>
    </r>
    <r>
      <rPr>
        <b/>
        <sz val="11"/>
        <color theme="1" tint="0.499984740745262"/>
        <rFont val="Calibri"/>
        <family val="2"/>
        <scheme val="minor"/>
      </rPr>
      <t>GB</t>
    </r>
    <r>
      <rPr>
        <sz val="11"/>
        <color theme="1" tint="0.499984740745262"/>
        <rFont val="Calibri"/>
        <family val="2"/>
        <scheme val="minor"/>
      </rPr>
      <t xml:space="preserve"> - 10 </t>
    </r>
    <r>
      <rPr>
        <b/>
        <sz val="11"/>
        <color theme="1" tint="0.499984740745262"/>
        <rFont val="Calibri"/>
        <family val="2"/>
        <scheme val="minor"/>
      </rPr>
      <t>GB</t>
    </r>
  </si>
  <si>
    <t>Avg Sync</t>
  </si>
  <si>
    <t>Min TPS</t>
  </si>
  <si>
    <t>Min</t>
  </si>
  <si>
    <t>Txns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</si>
  <si>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>: This section must be manually tweaked whenever the machine resources are changed.</t>
    </r>
  </si>
  <si>
    <t>Note that this row points to a value that does not change dynamically.</t>
  </si>
  <si>
    <t>0.1 - 11</t>
  </si>
  <si>
    <t>31 KB - 3,140 KB</t>
  </si>
  <si>
    <t>7 GB - 740 GB</t>
  </si>
  <si>
    <t>88 KB - 8,760 KB</t>
  </si>
  <si>
    <t>0.5 - 4.5</t>
  </si>
  <si>
    <t>129 KB - 1,287 KB</t>
  </si>
  <si>
    <t>4.1 - 60</t>
  </si>
  <si>
    <r>
      <t xml:space="preserve">1.2 </t>
    </r>
    <r>
      <rPr>
        <b/>
        <sz val="11"/>
        <color theme="1"/>
        <rFont val="Calibri"/>
        <family val="2"/>
        <scheme val="minor"/>
      </rPr>
      <t>MB</t>
    </r>
    <r>
      <rPr>
        <sz val="11"/>
        <color theme="1"/>
        <rFont val="Calibri"/>
        <family val="2"/>
        <scheme val="minor"/>
      </rPr>
      <t xml:space="preserve"> - 17 </t>
    </r>
    <r>
      <rPr>
        <b/>
        <sz val="11"/>
        <color theme="1"/>
        <rFont val="Calibri"/>
        <family val="2"/>
        <scheme val="minor"/>
      </rPr>
      <t>MB</t>
    </r>
  </si>
  <si>
    <t>185 GB - 5,370 GB</t>
  </si>
  <si>
    <t>1 GB - 3 GB</t>
  </si>
  <si>
    <t>10th &amp; 90th %ile</t>
  </si>
  <si>
    <t>0.5 - 85</t>
  </si>
  <si>
    <t>0.03 MB - 3.1 MB</t>
  </si>
  <si>
    <t>0.15 MB - 25 MB</t>
  </si>
  <si>
    <t>1.2 MB - 17 MB</t>
  </si>
  <si>
    <t>1.2 MB - 120 MB</t>
  </si>
  <si>
    <t>1.4 MB - 14 MB</t>
  </si>
  <si>
    <t>16.5 MB - 165 MB</t>
  </si>
  <si>
    <r>
      <t xml:space="preserve">185 GB - 5.4 </t>
    </r>
    <r>
      <rPr>
        <b/>
        <strike/>
        <sz val="11"/>
        <color theme="1"/>
        <rFont val="Calibri"/>
        <family val="2"/>
        <scheme val="minor"/>
      </rPr>
      <t>TB</t>
    </r>
  </si>
  <si>
    <r>
      <t xml:space="preserve">72 GB - 7.1 </t>
    </r>
    <r>
      <rPr>
        <b/>
        <sz val="11"/>
        <color theme="1"/>
        <rFont val="Calibri"/>
        <family val="2"/>
        <scheme val="minor"/>
      </rPr>
      <t>TB</t>
    </r>
  </si>
  <si>
    <r>
      <t xml:space="preserve">400 - 4 </t>
    </r>
    <r>
      <rPr>
        <b/>
        <sz val="11"/>
        <color theme="1"/>
        <rFont val="Calibri"/>
        <family val="2"/>
        <scheme val="minor"/>
      </rPr>
      <t>TB</t>
    </r>
  </si>
  <si>
    <t>4.2 - 420</t>
  </si>
  <si>
    <t>58 - 580</t>
  </si>
  <si>
    <t>1st, 10th, and 90th percentiles.</t>
  </si>
  <si>
    <r>
      <t xml:space="preserve">800 MB - 7.8 </t>
    </r>
    <r>
      <rPr>
        <b/>
        <sz val="11"/>
        <color theme="1" tint="0.499984740745262"/>
        <rFont val="Calibri"/>
        <family val="2"/>
        <scheme val="minor"/>
      </rPr>
      <t>GB</t>
    </r>
  </si>
  <si>
    <t>40 MB - 379 MB</t>
  </si>
  <si>
    <r>
      <t xml:space="preserve">105 MB - 1 </t>
    </r>
    <r>
      <rPr>
        <b/>
        <sz val="11"/>
        <color theme="1"/>
        <rFont val="Calibri"/>
        <family val="2"/>
        <scheme val="minor"/>
      </rPr>
      <t>GB</t>
    </r>
  </si>
  <si>
    <t>150 MB - 350 MB</t>
  </si>
  <si>
    <t>140 - 1,400</t>
  </si>
  <si>
    <t>19 - 190</t>
  </si>
  <si>
    <r>
      <t xml:space="preserve">546 MB - 4.4 </t>
    </r>
    <r>
      <rPr>
        <b/>
        <sz val="11"/>
        <color theme="1" tint="0.499984740745262"/>
        <rFont val="Calibri"/>
        <family val="2"/>
        <scheme val="minor"/>
      </rPr>
      <t>GB</t>
    </r>
  </si>
  <si>
    <t>0.5 MB - 9 MB</t>
  </si>
  <si>
    <t>12 MB - 100 MB</t>
  </si>
  <si>
    <t>15 MB - 63 MB</t>
  </si>
  <si>
    <t>73 MB - 590 MB</t>
  </si>
  <si>
    <t>33 MB - 406 MB</t>
  </si>
  <si>
    <t>0.2 MB - 4 MB</t>
  </si>
  <si>
    <t>1.5 MB - 18 MB</t>
  </si>
  <si>
    <t>29 MB - 285 MB</t>
  </si>
  <si>
    <t>1,400 - 14,000</t>
  </si>
  <si>
    <t>3,600 - 36,000</t>
  </si>
  <si>
    <t>28 - 142</t>
  </si>
  <si>
    <t>67 - 684</t>
  </si>
  <si>
    <t>186 - 1,900</t>
  </si>
  <si>
    <t>265 - 630</t>
  </si>
  <si>
    <r>
      <t xml:space="preserve">2 </t>
    </r>
    <r>
      <rPr>
        <b/>
        <sz val="11"/>
        <color theme="1" tint="0.499984740745262"/>
        <rFont val="Calibri"/>
        <family val="2"/>
        <scheme val="minor"/>
      </rPr>
      <t>GB</t>
    </r>
    <r>
      <rPr>
        <sz val="11"/>
        <color theme="1" tint="0.499984740745262"/>
        <rFont val="Calibri"/>
        <family val="2"/>
        <scheme val="minor"/>
      </rPr>
      <t xml:space="preserve"> - 20 </t>
    </r>
    <r>
      <rPr>
        <b/>
        <sz val="11"/>
        <color theme="1" tint="0.499984740745262"/>
        <rFont val="Calibri"/>
        <family val="2"/>
        <scheme val="minor"/>
      </rPr>
      <t>GB</t>
    </r>
  </si>
  <si>
    <t>16 MB - 80 MB</t>
  </si>
  <si>
    <t>45 MB - 440 MB</t>
  </si>
  <si>
    <t>115 MB - 550 MB</t>
  </si>
  <si>
    <r>
      <t xml:space="preserve">275 MB - 2.6 </t>
    </r>
    <r>
      <rPr>
        <b/>
        <sz val="11"/>
        <color theme="1"/>
        <rFont val="Calibri"/>
        <family val="2"/>
        <scheme val="minor"/>
      </rPr>
      <t>GB</t>
    </r>
  </si>
  <si>
    <r>
      <t xml:space="preserve">380 MB - 4 </t>
    </r>
    <r>
      <rPr>
        <b/>
        <sz val="11"/>
        <color theme="1" tint="0.499984740745262"/>
        <rFont val="Calibri"/>
        <family val="2"/>
        <scheme val="minor"/>
      </rPr>
      <t>GB</t>
    </r>
  </si>
  <si>
    <t>8 MB - 41 MB</t>
  </si>
  <si>
    <t>20 MB - 195 MB</t>
  </si>
  <si>
    <t>53 MB - 540 MB</t>
  </si>
  <si>
    <t>76 MB - 180 MB</t>
  </si>
  <si>
    <t>2 MB - 19 MB</t>
  </si>
  <si>
    <t>5 MB - 48 MB</t>
  </si>
  <si>
    <t>5 MB - 54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</si>
</sst>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6">
    <numFmt numFmtId="43" formatCode="_(* #,##0.00_);_(* \(#,##0.00\);_(* &quot;-&quot;??_);_(@_)"/>
    <numFmt numFmtId="164" formatCode="_(* #,##0_);_(* \(#,##0\);_(* &quot;-&quot;??_);_(@_)"/>
    <numFmt numFmtId="165" formatCode="0\ &quot;days&quot;"/>
    <numFmt numFmtId="166" formatCode="#,###\ &quot;tps&quot;"/>
    <numFmt numFmtId="167" formatCode="#\ &quot;GB&quot;"/>
    <numFmt numFmtId="168" formatCode="#,###\ &quot;Mbps&quot;"/>
    <numFmt numFmtId="169" formatCode="0.0"/>
    <numFmt numFmtId="170" formatCode="#,###\ &quot;GB&quot;"/>
    <numFmt numFmtId="171" formatCode="#,###\ &quot;KB&quot;"/>
    <numFmt numFmtId="172" formatCode="#\ &quot;bytes&quot;"/>
    <numFmt numFmtId="173" formatCode="#"/>
    <numFmt numFmtId="174" formatCode="#,###\ &quot;million&quot;"/>
    <numFmt numFmtId="175" formatCode="#\ &quot;KB&quot;"/>
    <numFmt numFmtId="176" formatCode="#\ &quot;days&quot;"/>
    <numFmt numFmtId="177" formatCode="#.0\ &quot;days&quot;"/>
    <numFmt numFmtId="178" formatCode="0%&quot;/year&quot;"/>
    <numFmt numFmtId="179" formatCode="#,###.0\ &quot;GB&quot;"/>
    <numFmt numFmtId="180" formatCode="0.0%"/>
    <numFmt numFmtId="181" formatCode="#.0\ &quot;MB&quot;"/>
    <numFmt numFmtId="182" formatCode="#,###.0\ &quot;tps&quot;"/>
    <numFmt numFmtId="183" formatCode="_(* #,##0.0_);_(* \(#,##0.0\);_(* &quot;-&quot;??_);_(@_)"/>
    <numFmt numFmtId="184" formatCode="#,###\ &quot;MB&quot;"/>
    <numFmt numFmtId="185" formatCode="#\ &quot;GB/yr&quot;"/>
    <numFmt numFmtId="186" formatCode="#,###.0\ &quot;MB&quot;"/>
    <numFmt numFmtId="187" formatCode="#,###\ &quot;million/yr&quot;"/>
    <numFmt numFmtId="188" formatCode="#\ &quot;Billion&quot;"/>
    <numFmt numFmtId="189" formatCode="#\ &quot; million&quot;"/>
    <numFmt numFmtId="190" formatCode="#,###.0\ &quot;Mbps&quot;"/>
    <numFmt numFmtId="191" formatCode="#.0\ &quot;s&quot;"/>
    <numFmt numFmtId="192" formatCode="#\ &quot;ms&quot;"/>
    <numFmt numFmtId="193" formatCode="#.000\ &quot;s&quot;"/>
    <numFmt numFmtId="194" formatCode="#,###.00\ &quot;s&quot;"/>
    <numFmt numFmtId="195" formatCode="#,##0.000&quot; s&quot;"/>
    <numFmt numFmtId="196" formatCode="#\ &quot;km&quot;"/>
    <numFmt numFmtId="197" formatCode="#&quot; ms&quot;"/>
    <numFmt numFmtId="198" formatCode="0.00\ &quot;s&quot;"/>
    <numFmt numFmtId="199" formatCode="0%&quot;/yr&quot;"/>
    <numFmt numFmtId="200" formatCode="#.00\ &quot;s&quot;"/>
    <numFmt numFmtId="201" formatCode="0.0000000"/>
    <numFmt numFmtId="202" formatCode="#\ &quot; Billion&quot;"/>
    <numFmt numFmtId="203" formatCode="&quot;&gt;&quot;#\ &quot;Billion&quot;"/>
    <numFmt numFmtId="204" formatCode="#,###"/>
    <numFmt numFmtId="205" formatCode="#.#\ &quot;GB&quot;"/>
    <numFmt numFmtId="206" formatCode="#,###\ &quot;GB/yr&quot;"/>
    <numFmt numFmtId="207" formatCode="#.0\ &quot;Billion&quot;"/>
    <numFmt numFmtId="209" formatCode="0.000%"/>
    <numFmt numFmtId="210" formatCode="#.0"/>
    <numFmt numFmtId="211" formatCode="#/1000\ &quot;million&quot;"/>
    <numFmt numFmtId="212" formatCode="#,###.000\ &quot;Mbps&quot;"/>
    <numFmt numFmtId="214" formatCode="#.00"/>
    <numFmt numFmtId="216" formatCode="&quot;Unlimited GB&quot;"/>
    <numFmt numFmtId="217" formatCode="#,###.00\ &quot;Mbps&quot;"/>
    <numFmt numFmtId="218" formatCode="#,###\ &quot;GB/year&quot;"/>
    <numFmt numFmtId="219" formatCode="#,###.00\ &quot;MB&quot;"/>
    <numFmt numFmtId="223" formatCode="#.0\ &quot;Mbps&quot;"/>
    <numFmt numFmtId="224" formatCode="#.0\ &quot;GB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u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 tint="0.499984740745262"/>
      <name val="Arial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FBD1D7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69" fontId="0" fillId="0" borderId="0" xfId="0" applyNumberFormat="1"/>
    <xf numFmtId="170" fontId="0" fillId="0" borderId="0" xfId="1" applyNumberFormat="1" applyFont="1"/>
    <xf numFmtId="171" fontId="0" fillId="0" borderId="0" xfId="0" applyNumberFormat="1"/>
    <xf numFmtId="0" fontId="2" fillId="0" borderId="0" xfId="0" applyFont="1" applyAlignment="1">
      <alignment horizontal="left"/>
    </xf>
    <xf numFmtId="174" fontId="0" fillId="0" borderId="0" xfId="1" applyNumberFormat="1" applyFont="1"/>
    <xf numFmtId="175" fontId="0" fillId="0" borderId="0" xfId="0" applyNumberFormat="1"/>
    <xf numFmtId="170" fontId="2" fillId="0" borderId="0" xfId="1" applyNumberFormat="1" applyFont="1"/>
    <xf numFmtId="9" fontId="0" fillId="2" borderId="0" xfId="0" applyNumberFormat="1" applyFill="1"/>
    <xf numFmtId="0" fontId="0" fillId="2" borderId="0" xfId="0" applyFill="1"/>
    <xf numFmtId="172" fontId="0" fillId="2" borderId="0" xfId="0" applyNumberFormat="1" applyFill="1"/>
    <xf numFmtId="176" fontId="0" fillId="2" borderId="0" xfId="0" applyNumberFormat="1" applyFill="1"/>
    <xf numFmtId="0" fontId="4" fillId="2" borderId="0" xfId="0" applyFont="1" applyFill="1"/>
    <xf numFmtId="177" fontId="0" fillId="0" borderId="1" xfId="0" applyNumberFormat="1" applyBorder="1"/>
    <xf numFmtId="0" fontId="0" fillId="0" borderId="0" xfId="0" applyAlignment="1">
      <alignment horizontal="center"/>
    </xf>
    <xf numFmtId="174" fontId="0" fillId="2" borderId="0" xfId="1" applyNumberFormat="1" applyFont="1" applyFill="1"/>
    <xf numFmtId="174" fontId="2" fillId="2" borderId="0" xfId="1" applyNumberFormat="1" applyFont="1" applyFill="1"/>
    <xf numFmtId="174" fontId="1" fillId="0" borderId="0" xfId="1" applyNumberFormat="1" applyFont="1"/>
    <xf numFmtId="0" fontId="5" fillId="2" borderId="0" xfId="0" applyFont="1" applyFill="1"/>
    <xf numFmtId="9" fontId="0" fillId="0" borderId="0" xfId="2" applyFont="1"/>
    <xf numFmtId="178" fontId="0" fillId="2" borderId="0" xfId="0" applyNumberFormat="1" applyFill="1"/>
    <xf numFmtId="167" fontId="0" fillId="2" borderId="0" xfId="0" applyNumberFormat="1" applyFill="1"/>
    <xf numFmtId="167" fontId="0" fillId="0" borderId="0" xfId="0" applyNumberFormat="1"/>
    <xf numFmtId="0" fontId="6" fillId="0" borderId="0" xfId="0" applyFont="1"/>
    <xf numFmtId="170" fontId="6" fillId="0" borderId="0" xfId="1" applyNumberFormat="1" applyFont="1"/>
    <xf numFmtId="0" fontId="7" fillId="0" borderId="0" xfId="0" applyFont="1" applyAlignment="1">
      <alignment horizontal="center"/>
    </xf>
    <xf numFmtId="179" fontId="0" fillId="0" borderId="0" xfId="1" applyNumberFormat="1" applyFont="1"/>
    <xf numFmtId="180" fontId="0" fillId="3" borderId="0" xfId="0" applyNumberFormat="1" applyFill="1"/>
    <xf numFmtId="170" fontId="0" fillId="3" borderId="0" xfId="1" applyNumberFormat="1" applyFont="1" applyFill="1"/>
    <xf numFmtId="181" fontId="0" fillId="0" borderId="0" xfId="0" applyNumberFormat="1"/>
    <xf numFmtId="182" fontId="0" fillId="0" borderId="0" xfId="0" applyNumberFormat="1"/>
    <xf numFmtId="43" fontId="2" fillId="0" borderId="0" xfId="1" applyFont="1" applyAlignment="1">
      <alignment horizontal="center"/>
    </xf>
    <xf numFmtId="172" fontId="0" fillId="2" borderId="0" xfId="1" applyNumberFormat="1" applyFont="1" applyFill="1"/>
    <xf numFmtId="0" fontId="10" fillId="0" borderId="0" xfId="0" applyFont="1" applyAlignment="1">
      <alignment horizontal="right"/>
    </xf>
    <xf numFmtId="184" fontId="0" fillId="0" borderId="0" xfId="0" applyNumberFormat="1"/>
    <xf numFmtId="170" fontId="0" fillId="0" borderId="0" xfId="0" applyNumberFormat="1"/>
    <xf numFmtId="167" fontId="10" fillId="0" borderId="0" xfId="0" applyNumberFormat="1" applyFont="1"/>
    <xf numFmtId="167" fontId="0" fillId="4" borderId="0" xfId="0" applyNumberFormat="1" applyFill="1"/>
    <xf numFmtId="0" fontId="0" fillId="4" borderId="0" xfId="0" applyFill="1"/>
    <xf numFmtId="183" fontId="0" fillId="4" borderId="0" xfId="1" applyNumberFormat="1" applyFont="1" applyFill="1"/>
    <xf numFmtId="175" fontId="0" fillId="2" borderId="0" xfId="0" applyNumberFormat="1" applyFont="1" applyFill="1" applyAlignment="1">
      <alignment horizontal="center"/>
    </xf>
    <xf numFmtId="170" fontId="0" fillId="4" borderId="0" xfId="1" applyNumberFormat="1" applyFont="1" applyFill="1"/>
    <xf numFmtId="0" fontId="8" fillId="4" borderId="0" xfId="0" applyFont="1" applyFill="1"/>
    <xf numFmtId="170" fontId="0" fillId="0" borderId="0" xfId="1" applyNumberFormat="1" applyFont="1" applyFill="1"/>
    <xf numFmtId="0" fontId="8" fillId="0" borderId="0" xfId="0" applyFont="1" applyFill="1"/>
    <xf numFmtId="186" fontId="0" fillId="0" borderId="0" xfId="0" applyNumberFormat="1"/>
    <xf numFmtId="185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173" fontId="0" fillId="0" borderId="0" xfId="0" applyNumberForma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165" fontId="0" fillId="2" borderId="0" xfId="1" applyNumberFormat="1" applyFont="1" applyFill="1"/>
    <xf numFmtId="9" fontId="0" fillId="2" borderId="0" xfId="0" applyNumberFormat="1" applyFill="1"/>
    <xf numFmtId="9" fontId="0" fillId="0" borderId="0" xfId="2" applyFont="1"/>
    <xf numFmtId="0" fontId="7" fillId="0" borderId="0" xfId="0" applyFont="1" applyAlignment="1">
      <alignment horizontal="center"/>
    </xf>
    <xf numFmtId="0" fontId="4" fillId="3" borderId="0" xfId="0" applyFont="1" applyFill="1"/>
    <xf numFmtId="0" fontId="0" fillId="3" borderId="0" xfId="0" applyFill="1"/>
    <xf numFmtId="174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173" fontId="0" fillId="0" borderId="0" xfId="0" applyNumberFormat="1"/>
    <xf numFmtId="170" fontId="0" fillId="3" borderId="0" xfId="1" applyNumberFormat="1" applyFont="1" applyFill="1"/>
    <xf numFmtId="184" fontId="0" fillId="0" borderId="0" xfId="0" applyNumberFormat="1"/>
    <xf numFmtId="170" fontId="0" fillId="0" borderId="0" xfId="1" applyNumberFormat="1" applyFont="1" applyFill="1"/>
    <xf numFmtId="187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9" fontId="0" fillId="2" borderId="0" xfId="0" applyNumberFormat="1" applyFill="1"/>
    <xf numFmtId="0" fontId="0" fillId="2" borderId="0" xfId="0" applyFill="1"/>
    <xf numFmtId="0" fontId="7" fillId="0" borderId="0" xfId="0" applyFont="1" applyAlignment="1">
      <alignment horizontal="center"/>
    </xf>
    <xf numFmtId="183" fontId="0" fillId="0" borderId="0" xfId="1" applyNumberFormat="1" applyFont="1"/>
    <xf numFmtId="184" fontId="0" fillId="0" borderId="0" xfId="1" applyNumberFormat="1" applyFont="1"/>
    <xf numFmtId="0" fontId="10" fillId="0" borderId="0" xfId="0" applyFont="1" applyAlignment="1">
      <alignment horizontal="right"/>
    </xf>
    <xf numFmtId="183" fontId="10" fillId="0" borderId="0" xfId="1" applyNumberFormat="1" applyFont="1"/>
    <xf numFmtId="184" fontId="0" fillId="0" borderId="0" xfId="0" applyNumberFormat="1"/>
    <xf numFmtId="170" fontId="0" fillId="0" borderId="0" xfId="0" applyNumberFormat="1"/>
    <xf numFmtId="167" fontId="10" fillId="0" borderId="0" xfId="0" applyNumberFormat="1" applyFont="1"/>
    <xf numFmtId="0" fontId="0" fillId="4" borderId="0" xfId="0" applyFill="1"/>
    <xf numFmtId="0" fontId="3" fillId="0" borderId="0" xfId="0" applyFont="1" applyFill="1" applyAlignment="1">
      <alignment horizontal="center"/>
    </xf>
    <xf numFmtId="0" fontId="10" fillId="4" borderId="0" xfId="0" applyFont="1" applyFill="1"/>
    <xf numFmtId="0" fontId="2" fillId="0" borderId="0" xfId="0" applyFont="1" applyAlignment="1">
      <alignment horizontal="right"/>
    </xf>
    <xf numFmtId="188" fontId="0" fillId="2" borderId="0" xfId="0" applyNumberFormat="1" applyFill="1"/>
    <xf numFmtId="172" fontId="0" fillId="0" borderId="0" xfId="0" applyNumberFormat="1"/>
    <xf numFmtId="10" fontId="0" fillId="2" borderId="0" xfId="0" applyNumberFormat="1" applyFill="1"/>
    <xf numFmtId="1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8" fontId="0" fillId="3" borderId="0" xfId="1" applyNumberFormat="1" applyFont="1" applyFill="1"/>
    <xf numFmtId="166" fontId="0" fillId="3" borderId="0" xfId="1" applyNumberFormat="1" applyFont="1" applyFill="1"/>
    <xf numFmtId="189" fontId="0" fillId="2" borderId="0" xfId="0" applyNumberFormat="1" applyFill="1"/>
    <xf numFmtId="179" fontId="2" fillId="0" borderId="0" xfId="1" applyNumberFormat="1" applyFont="1" applyAlignment="1">
      <alignment horizontal="center"/>
    </xf>
    <xf numFmtId="170" fontId="2" fillId="0" borderId="0" xfId="1" applyNumberFormat="1" applyFont="1" applyFill="1" applyAlignment="1">
      <alignment horizontal="center"/>
    </xf>
    <xf numFmtId="9" fontId="0" fillId="2" borderId="0" xfId="2" applyFont="1" applyFill="1"/>
    <xf numFmtId="190" fontId="0" fillId="3" borderId="0" xfId="1" applyNumberFormat="1" applyFont="1" applyFill="1"/>
    <xf numFmtId="180" fontId="0" fillId="2" borderId="0" xfId="2" applyNumberFormat="1" applyFont="1" applyFill="1"/>
    <xf numFmtId="10" fontId="0" fillId="2" borderId="0" xfId="2" applyNumberFormat="1" applyFont="1" applyFill="1"/>
    <xf numFmtId="191" fontId="0" fillId="0" borderId="0" xfId="0" applyNumberFormat="1"/>
    <xf numFmtId="192" fontId="13" fillId="2" borderId="0" xfId="0" applyNumberFormat="1" applyFont="1" applyFill="1" applyAlignment="1">
      <alignment horizontal="center"/>
    </xf>
    <xf numFmtId="193" fontId="0" fillId="0" borderId="0" xfId="0" applyNumberFormat="1"/>
    <xf numFmtId="194" fontId="0" fillId="0" borderId="0" xfId="1" applyNumberFormat="1" applyFont="1"/>
    <xf numFmtId="195" fontId="0" fillId="0" borderId="0" xfId="0" applyNumberFormat="1"/>
    <xf numFmtId="0" fontId="0" fillId="0" borderId="0" xfId="0" applyAlignment="1">
      <alignment horizontal="center"/>
    </xf>
    <xf numFmtId="197" fontId="0" fillId="5" borderId="0" xfId="0" applyNumberFormat="1" applyFill="1"/>
    <xf numFmtId="196" fontId="0" fillId="5" borderId="0" xfId="0" applyNumberFormat="1" applyFill="1"/>
    <xf numFmtId="197" fontId="0" fillId="6" borderId="0" xfId="0" applyNumberFormat="1" applyFill="1"/>
    <xf numFmtId="196" fontId="0" fillId="6" borderId="0" xfId="0" applyNumberFormat="1" applyFill="1"/>
    <xf numFmtId="197" fontId="0" fillId="7" borderId="0" xfId="0" applyNumberFormat="1" applyFill="1"/>
    <xf numFmtId="196" fontId="0" fillId="7" borderId="0" xfId="0" applyNumberFormat="1" applyFill="1"/>
    <xf numFmtId="180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/>
    <xf numFmtId="198" fontId="0" fillId="0" borderId="5" xfId="0" applyNumberFormat="1" applyBorder="1"/>
    <xf numFmtId="0" fontId="0" fillId="0" borderId="6" xfId="0" applyBorder="1"/>
    <xf numFmtId="198" fontId="0" fillId="0" borderId="7" xfId="0" applyNumberFormat="1" applyBorder="1"/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79" fontId="2" fillId="0" borderId="3" xfId="1" applyNumberFormat="1" applyFont="1" applyBorder="1" applyAlignment="1">
      <alignment horizontal="center"/>
    </xf>
    <xf numFmtId="171" fontId="0" fillId="0" borderId="4" xfId="0" applyNumberFormat="1" applyBorder="1"/>
    <xf numFmtId="171" fontId="0" fillId="0" borderId="6" xfId="0" applyNumberFormat="1" applyBorder="1"/>
    <xf numFmtId="164" fontId="0" fillId="0" borderId="0" xfId="1" applyNumberFormat="1" applyFont="1" applyBorder="1"/>
    <xf numFmtId="164" fontId="0" fillId="0" borderId="9" xfId="1" applyNumberFormat="1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0" fillId="3" borderId="0" xfId="1" applyNumberFormat="1" applyFont="1" applyFill="1"/>
    <xf numFmtId="43" fontId="0" fillId="3" borderId="0" xfId="0" applyNumberFormat="1" applyFill="1"/>
    <xf numFmtId="0" fontId="12" fillId="0" borderId="0" xfId="0" applyFont="1" applyAlignment="1"/>
    <xf numFmtId="0" fontId="0" fillId="0" borderId="0" xfId="0" applyFont="1"/>
    <xf numFmtId="199" fontId="0" fillId="2" borderId="0" xfId="0" applyNumberFormat="1" applyFill="1"/>
    <xf numFmtId="199" fontId="13" fillId="2" borderId="0" xfId="0" applyNumberFormat="1" applyFont="1" applyFill="1" applyAlignment="1">
      <alignment horizontal="center"/>
    </xf>
    <xf numFmtId="192" fontId="0" fillId="3" borderId="0" xfId="0" applyNumberFormat="1" applyFill="1"/>
    <xf numFmtId="192" fontId="0" fillId="2" borderId="0" xfId="0" applyNumberFormat="1" applyFill="1"/>
    <xf numFmtId="200" fontId="0" fillId="0" borderId="0" xfId="0" applyNumberFormat="1"/>
    <xf numFmtId="0" fontId="0" fillId="4" borderId="0" xfId="0" applyFill="1" applyAlignment="1">
      <alignment horizontal="right"/>
    </xf>
    <xf numFmtId="201" fontId="0" fillId="0" borderId="0" xfId="0" applyNumberFormat="1"/>
    <xf numFmtId="170" fontId="0" fillId="4" borderId="0" xfId="0" applyNumberFormat="1" applyFill="1"/>
    <xf numFmtId="192" fontId="0" fillId="0" borderId="0" xfId="0" applyNumberFormat="1" applyFont="1"/>
    <xf numFmtId="202" fontId="0" fillId="2" borderId="0" xfId="0" applyNumberFormat="1" applyFill="1"/>
    <xf numFmtId="203" fontId="13" fillId="0" borderId="0" xfId="0" applyNumberFormat="1" applyFont="1" applyFill="1" applyAlignment="1">
      <alignment horizontal="center"/>
    </xf>
    <xf numFmtId="179" fontId="7" fillId="0" borderId="0" xfId="1" applyNumberFormat="1" applyFont="1" applyAlignment="1">
      <alignment horizontal="center"/>
    </xf>
    <xf numFmtId="191" fontId="6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204" fontId="0" fillId="0" borderId="0" xfId="0" applyNumberFormat="1"/>
    <xf numFmtId="0" fontId="2" fillId="0" borderId="0" xfId="0" applyFont="1" applyAlignment="1">
      <alignment horizontal="center"/>
    </xf>
    <xf numFmtId="205" fontId="0" fillId="0" borderId="0" xfId="0" applyNumberFormat="1"/>
    <xf numFmtId="206" fontId="0" fillId="0" borderId="0" xfId="0" applyNumberFormat="1"/>
    <xf numFmtId="207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/>
    </xf>
    <xf numFmtId="183" fontId="0" fillId="0" borderId="0" xfId="1" applyNumberFormat="1" applyFont="1" applyFill="1"/>
    <xf numFmtId="171" fontId="0" fillId="0" borderId="0" xfId="0" applyNumberFormat="1" applyFill="1"/>
    <xf numFmtId="183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209" fontId="0" fillId="2" borderId="0" xfId="0" applyNumberFormat="1" applyFill="1"/>
    <xf numFmtId="183" fontId="0" fillId="3" borderId="0" xfId="1" applyNumberFormat="1" applyFont="1" applyFill="1"/>
    <xf numFmtId="210" fontId="0" fillId="3" borderId="0" xfId="0" applyNumberFormat="1" applyFill="1"/>
    <xf numFmtId="211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99" fontId="0" fillId="3" borderId="0" xfId="0" applyNumberFormat="1" applyFill="1"/>
    <xf numFmtId="210" fontId="0" fillId="0" borderId="0" xfId="0" applyNumberFormat="1"/>
    <xf numFmtId="214" fontId="0" fillId="0" borderId="0" xfId="0" applyNumberFormat="1"/>
    <xf numFmtId="186" fontId="0" fillId="0" borderId="0" xfId="1" applyNumberFormat="1" applyFont="1"/>
    <xf numFmtId="212" fontId="0" fillId="3" borderId="0" xfId="1" applyNumberFormat="1" applyFont="1" applyFill="1"/>
    <xf numFmtId="0" fontId="2" fillId="0" borderId="0" xfId="0" applyFont="1" applyAlignment="1">
      <alignment horizontal="center"/>
    </xf>
    <xf numFmtId="216" fontId="0" fillId="2" borderId="0" xfId="1" applyNumberFormat="1" applyFont="1" applyFill="1"/>
    <xf numFmtId="171" fontId="0" fillId="0" borderId="0" xfId="0" applyNumberFormat="1" applyAlignment="1">
      <alignment horizontal="right"/>
    </xf>
    <xf numFmtId="183" fontId="0" fillId="0" borderId="0" xfId="1" applyNumberFormat="1" applyFont="1" applyAlignment="1">
      <alignment horizontal="right"/>
    </xf>
    <xf numFmtId="183" fontId="0" fillId="4" borderId="0" xfId="1" applyNumberFormat="1" applyFont="1" applyFill="1" applyAlignment="1">
      <alignment horizontal="right"/>
    </xf>
    <xf numFmtId="183" fontId="0" fillId="0" borderId="0" xfId="0" applyNumberFormat="1" applyAlignment="1">
      <alignment horizontal="right"/>
    </xf>
    <xf numFmtId="183" fontId="0" fillId="0" borderId="0" xfId="1" applyNumberFormat="1" applyFont="1" applyFill="1" applyAlignment="1">
      <alignment horizontal="right"/>
    </xf>
    <xf numFmtId="183" fontId="10" fillId="8" borderId="0" xfId="1" applyNumberFormat="1" applyFont="1" applyFill="1" applyAlignment="1">
      <alignment horizontal="right"/>
    </xf>
    <xf numFmtId="183" fontId="0" fillId="9" borderId="0" xfId="1" applyNumberFormat="1" applyFont="1" applyFill="1" applyAlignment="1">
      <alignment horizontal="right"/>
    </xf>
    <xf numFmtId="171" fontId="10" fillId="0" borderId="0" xfId="0" applyNumberFormat="1" applyFont="1"/>
    <xf numFmtId="171" fontId="0" fillId="0" borderId="0" xfId="0" applyNumberFormat="1" applyFill="1" applyAlignment="1">
      <alignment horizontal="right"/>
    </xf>
    <xf numFmtId="167" fontId="0" fillId="4" borderId="0" xfId="0" applyNumberFormat="1" applyFill="1" applyAlignment="1">
      <alignment horizontal="right"/>
    </xf>
    <xf numFmtId="170" fontId="0" fillId="0" borderId="0" xfId="0" applyNumberFormat="1" applyAlignment="1">
      <alignment horizontal="right"/>
    </xf>
    <xf numFmtId="171" fontId="0" fillId="9" borderId="0" xfId="0" applyNumberFormat="1" applyFill="1" applyAlignment="1">
      <alignment horizontal="right"/>
    </xf>
    <xf numFmtId="175" fontId="10" fillId="8" borderId="0" xfId="0" applyNumberFormat="1" applyFont="1" applyFill="1" applyAlignment="1">
      <alignment horizontal="right"/>
    </xf>
    <xf numFmtId="167" fontId="10" fillId="9" borderId="0" xfId="0" applyNumberFormat="1" applyFont="1" applyFill="1" applyAlignment="1">
      <alignment horizontal="right"/>
    </xf>
    <xf numFmtId="170" fontId="0" fillId="8" borderId="0" xfId="0" applyNumberFormat="1" applyFill="1" applyAlignment="1">
      <alignment horizontal="right"/>
    </xf>
    <xf numFmtId="190" fontId="0" fillId="2" borderId="0" xfId="1" applyNumberFormat="1" applyFont="1" applyFill="1"/>
    <xf numFmtId="204" fontId="0" fillId="0" borderId="0" xfId="0" applyNumberFormat="1" applyAlignment="1">
      <alignment horizontal="right"/>
    </xf>
    <xf numFmtId="184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1" applyNumberFormat="1" applyFont="1"/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204" fontId="15" fillId="0" borderId="0" xfId="0" applyNumberFormat="1" applyFont="1"/>
    <xf numFmtId="184" fontId="15" fillId="0" borderId="0" xfId="0" applyNumberFormat="1" applyFont="1"/>
    <xf numFmtId="0" fontId="16" fillId="0" borderId="0" xfId="0" applyFont="1" applyFill="1" applyAlignment="1">
      <alignment horizontal="center"/>
    </xf>
    <xf numFmtId="203" fontId="15" fillId="0" borderId="0" xfId="0" applyNumberFormat="1" applyFont="1" applyFill="1" applyAlignment="1">
      <alignment horizontal="center"/>
    </xf>
    <xf numFmtId="173" fontId="15" fillId="0" borderId="0" xfId="0" applyNumberFormat="1" applyFont="1"/>
    <xf numFmtId="204" fontId="15" fillId="8" borderId="0" xfId="0" applyNumberFormat="1" applyFont="1" applyFill="1" applyAlignment="1">
      <alignment horizontal="right"/>
    </xf>
    <xf numFmtId="184" fontId="15" fillId="8" borderId="0" xfId="0" applyNumberFormat="1" applyFont="1" applyFill="1" applyAlignment="1">
      <alignment horizontal="right"/>
    </xf>
    <xf numFmtId="204" fontId="15" fillId="9" borderId="0" xfId="0" applyNumberFormat="1" applyFont="1" applyFill="1" applyAlignment="1">
      <alignment horizontal="right"/>
    </xf>
    <xf numFmtId="184" fontId="15" fillId="9" borderId="0" xfId="0" applyNumberFormat="1" applyFont="1" applyFill="1" applyAlignment="1">
      <alignment horizontal="right"/>
    </xf>
    <xf numFmtId="173" fontId="15" fillId="0" borderId="0" xfId="0" applyNumberFormat="1" applyFont="1" applyAlignment="1">
      <alignment horizontal="right"/>
    </xf>
    <xf numFmtId="184" fontId="15" fillId="0" borderId="0" xfId="0" applyNumberFormat="1" applyFont="1" applyAlignment="1">
      <alignment horizontal="right"/>
    </xf>
    <xf numFmtId="0" fontId="15" fillId="0" borderId="0" xfId="0" applyFont="1"/>
    <xf numFmtId="204" fontId="15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15" fillId="4" borderId="0" xfId="0" applyFont="1" applyFill="1"/>
    <xf numFmtId="0" fontId="2" fillId="0" borderId="0" xfId="0" applyFont="1" applyAlignment="1">
      <alignment horizontal="center"/>
    </xf>
    <xf numFmtId="186" fontId="0" fillId="9" borderId="0" xfId="0" applyNumberFormat="1" applyFont="1" applyFill="1" applyAlignment="1">
      <alignment horizontal="right"/>
    </xf>
    <xf numFmtId="0" fontId="2" fillId="0" borderId="0" xfId="0" applyFont="1" applyAlignment="1">
      <alignment horizontal="center"/>
    </xf>
    <xf numFmtId="217" fontId="0" fillId="3" borderId="0" xfId="1" applyNumberFormat="1" applyFont="1" applyFill="1"/>
    <xf numFmtId="0" fontId="2" fillId="0" borderId="0" xfId="0" applyFont="1" applyAlignment="1">
      <alignment horizontal="right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218" fontId="0" fillId="0" borderId="0" xfId="0" applyNumberFormat="1"/>
    <xf numFmtId="0" fontId="0" fillId="0" borderId="0" xfId="0" applyFont="1" applyAlignment="1">
      <alignment horizontal="left"/>
    </xf>
    <xf numFmtId="174" fontId="18" fillId="0" borderId="0" xfId="1" applyNumberFormat="1" applyFont="1"/>
    <xf numFmtId="0" fontId="0" fillId="0" borderId="0" xfId="0" applyAlignment="1">
      <alignment horizontal="left"/>
    </xf>
    <xf numFmtId="167" fontId="0" fillId="9" borderId="0" xfId="0" applyNumberFormat="1" applyFill="1" applyAlignment="1">
      <alignment horizontal="right"/>
    </xf>
    <xf numFmtId="179" fontId="0" fillId="0" borderId="0" xfId="0" applyNumberFormat="1"/>
    <xf numFmtId="219" fontId="10" fillId="0" borderId="0" xfId="0" applyNumberFormat="1" applyFon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9" fontId="0" fillId="2" borderId="0" xfId="0" applyNumberFormat="1" applyFill="1"/>
    <xf numFmtId="0" fontId="0" fillId="2" borderId="0" xfId="0" applyFill="1"/>
    <xf numFmtId="174" fontId="0" fillId="2" borderId="0" xfId="1" applyNumberFormat="1" applyFont="1" applyFill="1"/>
    <xf numFmtId="9" fontId="0" fillId="0" borderId="0" xfId="2" applyFont="1"/>
    <xf numFmtId="181" fontId="0" fillId="0" borderId="0" xfId="0" applyNumberFormat="1"/>
    <xf numFmtId="184" fontId="0" fillId="0" borderId="0" xfId="0" applyNumberFormat="1"/>
    <xf numFmtId="170" fontId="0" fillId="0" borderId="0" xfId="0" applyNumberFormat="1"/>
    <xf numFmtId="185" fontId="0" fillId="0" borderId="0" xfId="0" applyNumberForma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165" fontId="0" fillId="2" borderId="0" xfId="1" applyNumberFormat="1" applyFont="1" applyFill="1"/>
    <xf numFmtId="0" fontId="4" fillId="3" borderId="0" xfId="0" applyFont="1" applyFill="1"/>
    <xf numFmtId="0" fontId="0" fillId="3" borderId="0" xfId="0" applyFill="1"/>
    <xf numFmtId="174" fontId="0" fillId="0" borderId="0" xfId="0" applyNumberFormat="1"/>
    <xf numFmtId="187" fontId="0" fillId="0" borderId="0" xfId="0" applyNumberFormat="1"/>
    <xf numFmtId="192" fontId="13" fillId="2" borderId="0" xfId="0" applyNumberFormat="1" applyFont="1" applyFill="1" applyAlignment="1">
      <alignment horizontal="center"/>
    </xf>
    <xf numFmtId="193" fontId="0" fillId="0" borderId="0" xfId="0" applyNumberFormat="1"/>
    <xf numFmtId="194" fontId="0" fillId="0" borderId="0" xfId="1" applyNumberFormat="1" applyFont="1"/>
    <xf numFmtId="198" fontId="0" fillId="0" borderId="5" xfId="0" applyNumberFormat="1" applyBorder="1"/>
    <xf numFmtId="198" fontId="0" fillId="0" borderId="7" xfId="0" applyNumberFormat="1" applyBorder="1"/>
    <xf numFmtId="200" fontId="0" fillId="0" borderId="0" xfId="0" applyNumberFormat="1"/>
    <xf numFmtId="204" fontId="0" fillId="0" borderId="0" xfId="0" applyNumberFormat="1"/>
    <xf numFmtId="205" fontId="0" fillId="0" borderId="0" xfId="0" applyNumberFormat="1"/>
    <xf numFmtId="207" fontId="0" fillId="0" borderId="0" xfId="0" applyNumberFormat="1"/>
    <xf numFmtId="212" fontId="0" fillId="3" borderId="0" xfId="1" applyNumberFormat="1" applyFont="1" applyFill="1"/>
    <xf numFmtId="216" fontId="0" fillId="2" borderId="0" xfId="1" applyNumberFormat="1" applyFont="1" applyFill="1"/>
    <xf numFmtId="183" fontId="0" fillId="0" borderId="0" xfId="1" applyNumberFormat="1" applyFont="1" applyFill="1" applyAlignment="1">
      <alignment horizontal="right"/>
    </xf>
    <xf numFmtId="183" fontId="0" fillId="9" borderId="0" xfId="1" applyNumberFormat="1" applyFont="1" applyFill="1" applyAlignment="1">
      <alignment horizontal="right"/>
    </xf>
    <xf numFmtId="167" fontId="10" fillId="9" borderId="0" xfId="0" applyNumberFormat="1" applyFont="1" applyFill="1" applyAlignment="1">
      <alignment horizontal="right"/>
    </xf>
    <xf numFmtId="190" fontId="0" fillId="2" borderId="0" xfId="1" applyNumberFormat="1" applyFont="1" applyFill="1"/>
    <xf numFmtId="184" fontId="0" fillId="9" borderId="0" xfId="0" applyNumberFormat="1" applyFill="1" applyAlignment="1">
      <alignment horizontal="right"/>
    </xf>
    <xf numFmtId="184" fontId="15" fillId="9" borderId="0" xfId="0" applyNumberFormat="1" applyFont="1" applyFill="1" applyAlignment="1">
      <alignment horizontal="right"/>
    </xf>
    <xf numFmtId="0" fontId="15" fillId="4" borderId="0" xfId="0" applyFont="1" applyFill="1"/>
    <xf numFmtId="186" fontId="0" fillId="9" borderId="0" xfId="0" applyNumberFormat="1" applyFont="1" applyFill="1" applyAlignment="1">
      <alignment horizontal="right"/>
    </xf>
    <xf numFmtId="170" fontId="0" fillId="9" borderId="0" xfId="0" applyNumberFormat="1" applyFill="1" applyAlignment="1">
      <alignment horizontal="right"/>
    </xf>
    <xf numFmtId="217" fontId="0" fillId="3" borderId="0" xfId="1" applyNumberFormat="1" applyFont="1" applyFill="1"/>
    <xf numFmtId="0" fontId="0" fillId="0" borderId="0" xfId="0" applyAlignment="1">
      <alignment horizontal="left"/>
    </xf>
    <xf numFmtId="219" fontId="0" fillId="0" borderId="0" xfId="0" applyNumberFormat="1" applyFont="1"/>
    <xf numFmtId="183" fontId="10" fillId="9" borderId="0" xfId="1" applyNumberFormat="1" applyFont="1" applyFill="1" applyAlignment="1">
      <alignment horizontal="right"/>
    </xf>
    <xf numFmtId="186" fontId="10" fillId="9" borderId="0" xfId="0" applyNumberFormat="1" applyFont="1" applyFill="1" applyAlignment="1">
      <alignment horizontal="right"/>
    </xf>
    <xf numFmtId="223" fontId="0" fillId="0" borderId="0" xfId="0" applyNumberFormat="1"/>
    <xf numFmtId="173" fontId="15" fillId="9" borderId="0" xfId="0" applyNumberFormat="1" applyFont="1" applyFill="1" applyAlignment="1">
      <alignment horizontal="right"/>
    </xf>
    <xf numFmtId="173" fontId="0" fillId="0" borderId="0" xfId="0" applyNumberFormat="1" applyFill="1" applyAlignment="1">
      <alignment horizontal="right"/>
    </xf>
    <xf numFmtId="184" fontId="0" fillId="0" borderId="0" xfId="0" applyNumberFormat="1" applyFill="1" applyAlignment="1">
      <alignment horizontal="right"/>
    </xf>
    <xf numFmtId="204" fontId="15" fillId="0" borderId="0" xfId="0" applyNumberFormat="1" applyFont="1" applyFill="1" applyAlignment="1">
      <alignment horizontal="right"/>
    </xf>
    <xf numFmtId="184" fontId="15" fillId="0" borderId="0" xfId="0" applyNumberFormat="1" applyFont="1" applyFill="1" applyAlignment="1">
      <alignment horizontal="right"/>
    </xf>
    <xf numFmtId="1" fontId="0" fillId="9" borderId="0" xfId="0" applyNumberFormat="1" applyFill="1" applyAlignment="1">
      <alignment horizontal="right"/>
    </xf>
    <xf numFmtId="169" fontId="5" fillId="2" borderId="0" xfId="0" applyNumberFormat="1" applyFont="1" applyFill="1"/>
    <xf numFmtId="169" fontId="4" fillId="2" borderId="0" xfId="0" applyNumberFormat="1" applyFont="1" applyFill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83" fontId="4" fillId="0" borderId="0" xfId="1" applyNumberFormat="1" applyFont="1"/>
    <xf numFmtId="175" fontId="4" fillId="0" borderId="0" xfId="0" applyNumberFormat="1" applyFont="1"/>
    <xf numFmtId="167" fontId="4" fillId="0" borderId="0" xfId="0" applyNumberFormat="1" applyFont="1"/>
    <xf numFmtId="183" fontId="4" fillId="8" borderId="0" xfId="1" applyNumberFormat="1" applyFont="1" applyFill="1" applyAlignment="1">
      <alignment horizontal="right"/>
    </xf>
    <xf numFmtId="175" fontId="4" fillId="8" borderId="0" xfId="0" applyNumberFormat="1" applyFont="1" applyFill="1" applyAlignment="1">
      <alignment horizontal="right"/>
    </xf>
    <xf numFmtId="167" fontId="4" fillId="8" borderId="0" xfId="0" applyNumberFormat="1" applyFont="1" applyFill="1" applyAlignment="1">
      <alignment horizontal="right"/>
    </xf>
    <xf numFmtId="186" fontId="0" fillId="0" borderId="0" xfId="0" applyNumberFormat="1" applyFont="1" applyFill="1" applyAlignment="1">
      <alignment horizontal="right"/>
    </xf>
    <xf numFmtId="170" fontId="0" fillId="0" borderId="0" xfId="0" applyNumberFormat="1" applyFill="1" applyAlignment="1">
      <alignment horizontal="right"/>
    </xf>
    <xf numFmtId="22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ont>
        <color auto="1"/>
      </font>
      <fill>
        <patternFill>
          <bgColor rgb="FFFBD1D7"/>
        </patternFill>
      </fill>
    </dxf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</dxfs>
  <tableStyles count="0" defaultTableStyle="TableStyleMedium2" defaultPivotStyle="PivotStyleLight16"/>
  <colors>
    <mruColors>
      <color rgb="FFFFFFCC"/>
      <color rgb="FFFBD1D7"/>
      <color rgb="FFFF9F9F"/>
      <color rgb="FFFFB7B7"/>
      <color rgb="FFF3C3C3"/>
      <color rgb="FFEEA8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6.517388451443569E-2"/>
          <c:w val="0.68381342957130353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Bitcoin'!$B$61:$B$62</c:f>
              <c:strCache>
                <c:ptCount val="1"/>
                <c:pt idx="0">
                  <c:v>Max Blockchain Size</c:v>
                </c:pt>
              </c:strCache>
            </c:strRef>
          </c:tx>
          <c:marker>
            <c:symbol val="none"/>
          </c:marker>
          <c:cat>
            <c:numRef>
              <c:f>'Current Bitcoin'!$A$63:$A$78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Bitcoin'!$B$63:$B$78</c:f>
              <c:numCache>
                <c:formatCode>#,###\ "GB"</c:formatCode>
                <c:ptCount val="16"/>
                <c:pt idx="0">
                  <c:v>7.397260273972603</c:v>
                </c:pt>
                <c:pt idx="1">
                  <c:v>9.2465753424657535</c:v>
                </c:pt>
                <c:pt idx="2">
                  <c:v>11.558219178082192</c:v>
                </c:pt>
                <c:pt idx="3">
                  <c:v>14.447773972602739</c:v>
                </c:pt>
                <c:pt idx="4">
                  <c:v>18.059717465753426</c:v>
                </c:pt>
                <c:pt idx="5">
                  <c:v>22.574646832191782</c:v>
                </c:pt>
                <c:pt idx="6">
                  <c:v>28.218308540239725</c:v>
                </c:pt>
                <c:pt idx="7">
                  <c:v>35.272885675299655</c:v>
                </c:pt>
                <c:pt idx="8">
                  <c:v>44.091107094124574</c:v>
                </c:pt>
                <c:pt idx="9">
                  <c:v>55.113883867655716</c:v>
                </c:pt>
                <c:pt idx="10">
                  <c:v>68.892354834569645</c:v>
                </c:pt>
                <c:pt idx="11">
                  <c:v>86.115443543212052</c:v>
                </c:pt>
                <c:pt idx="12">
                  <c:v>107.64430442901507</c:v>
                </c:pt>
                <c:pt idx="13">
                  <c:v>134.55538053626884</c:v>
                </c:pt>
                <c:pt idx="14">
                  <c:v>168.19422567033607</c:v>
                </c:pt>
                <c:pt idx="15">
                  <c:v>210.24278208792006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39744"/>
        <c:axId val="139846016"/>
      </c:lineChart>
      <c:lineChart>
        <c:grouping val="standard"/>
        <c:varyColors val="0"/>
        <c:ser>
          <c:idx val="2"/>
          <c:order val="0"/>
          <c:tx>
            <c:strRef>
              <c:f>'Current Bitcoin'!$D$62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Bitcoin'!$A$63:$A$78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Bitcoin'!$D$63:$D$78</c:f>
              <c:numCache>
                <c:formatCode>#,###\ "KB"</c:formatCode>
                <c:ptCount val="16"/>
                <c:pt idx="0">
                  <c:v>31.405078529866266</c:v>
                </c:pt>
                <c:pt idx="1">
                  <c:v>39.256348162332841</c:v>
                </c:pt>
                <c:pt idx="2">
                  <c:v>49.070435202916038</c:v>
                </c:pt>
                <c:pt idx="3">
                  <c:v>61.338044003645059</c:v>
                </c:pt>
                <c:pt idx="4">
                  <c:v>76.67255500455633</c:v>
                </c:pt>
                <c:pt idx="5">
                  <c:v>95.840693755695412</c:v>
                </c:pt>
                <c:pt idx="6">
                  <c:v>119.80086719461927</c:v>
                </c:pt>
                <c:pt idx="7">
                  <c:v>149.75108399327408</c:v>
                </c:pt>
                <c:pt idx="8">
                  <c:v>187.18885499159256</c:v>
                </c:pt>
                <c:pt idx="9">
                  <c:v>233.98606873949075</c:v>
                </c:pt>
                <c:pt idx="10">
                  <c:v>292.48258592436343</c:v>
                </c:pt>
                <c:pt idx="11">
                  <c:v>365.60323240545432</c:v>
                </c:pt>
                <c:pt idx="12">
                  <c:v>457.00404050681783</c:v>
                </c:pt>
                <c:pt idx="13">
                  <c:v>571.25505063352227</c:v>
                </c:pt>
                <c:pt idx="14">
                  <c:v>714.06881329190287</c:v>
                </c:pt>
                <c:pt idx="15">
                  <c:v>892.58601661487876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49088"/>
        <c:axId val="139847552"/>
      </c:lineChart>
      <c:catAx>
        <c:axId val="13983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9846016"/>
        <c:crosses val="autoZero"/>
        <c:auto val="1"/>
        <c:lblAlgn val="ctr"/>
        <c:lblOffset val="100"/>
        <c:noMultiLvlLbl val="0"/>
      </c:catAx>
      <c:valAx>
        <c:axId val="139846016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9839744"/>
        <c:crosses val="autoZero"/>
        <c:crossBetween val="between"/>
      </c:valAx>
      <c:valAx>
        <c:axId val="139847552"/>
        <c:scaling>
          <c:orientation val="minMax"/>
        </c:scaling>
        <c:delete val="0"/>
        <c:axPos val="r"/>
        <c:numFmt formatCode="#,##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39849088"/>
        <c:crosses val="max"/>
        <c:crossBetween val="between"/>
      </c:valAx>
      <c:catAx>
        <c:axId val="13984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84755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9413839741069"/>
          <c:y val="6.517388451443569E-2"/>
          <c:w val="0.66182031264882168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Bitcoin'!$B$83:$B$84</c:f>
              <c:strCache>
                <c:ptCount val="1"/>
                <c:pt idx="0">
                  <c:v>Max Transactions</c:v>
                </c:pt>
              </c:strCache>
            </c:strRef>
          </c:tx>
          <c:marker>
            <c:symbol val="none"/>
          </c:marker>
          <c:cat>
            <c:numRef>
              <c:f>'Current Bitcoin'!$A$63:$A$78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Bitcoin'!$B$85:$B$100</c:f>
              <c:numCache>
                <c:formatCode>#,###\ "million"</c:formatCode>
                <c:ptCount val="16"/>
                <c:pt idx="0">
                  <c:v>90.72</c:v>
                </c:pt>
                <c:pt idx="1">
                  <c:v>106.14239999999999</c:v>
                </c:pt>
                <c:pt idx="2">
                  <c:v>124.18660799999998</c:v>
                </c:pt>
                <c:pt idx="3">
                  <c:v>145.29833135999999</c:v>
                </c:pt>
                <c:pt idx="4">
                  <c:v>169.99904769119996</c:v>
                </c:pt>
                <c:pt idx="5">
                  <c:v>198.8988857987039</c:v>
                </c:pt>
                <c:pt idx="6">
                  <c:v>232.71169638448359</c:v>
                </c:pt>
                <c:pt idx="7">
                  <c:v>272.27268476984574</c:v>
                </c:pt>
                <c:pt idx="8">
                  <c:v>318.55904118071953</c:v>
                </c:pt>
                <c:pt idx="9">
                  <c:v>372.71407818144172</c:v>
                </c:pt>
                <c:pt idx="10">
                  <c:v>436.07547147228695</c:v>
                </c:pt>
                <c:pt idx="11">
                  <c:v>510.20830162257562</c:v>
                </c:pt>
                <c:pt idx="12">
                  <c:v>596.94371289841331</c:v>
                </c:pt>
                <c:pt idx="13">
                  <c:v>698.4241440911436</c:v>
                </c:pt>
                <c:pt idx="14">
                  <c:v>817.15624858663818</c:v>
                </c:pt>
                <c:pt idx="15">
                  <c:v>956.07281084636656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45792"/>
        <c:axId val="140147712"/>
      </c:lineChart>
      <c:lineChart>
        <c:grouping val="standard"/>
        <c:varyColors val="0"/>
        <c:ser>
          <c:idx val="2"/>
          <c:order val="0"/>
          <c:tx>
            <c:strRef>
              <c:f>'Current Bitcoin'!$D$84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Bitcoin'!$A$63:$A$78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Bitcoin'!$D$85:$D$100</c:f>
              <c:numCache>
                <c:formatCode>#\ "KB"</c:formatCode>
                <c:ptCount val="16"/>
                <c:pt idx="0">
                  <c:v>128.72156666107443</c:v>
                </c:pt>
                <c:pt idx="1">
                  <c:v>150.60423299345706</c:v>
                </c:pt>
                <c:pt idx="2">
                  <c:v>176.20695260234473</c:v>
                </c:pt>
                <c:pt idx="3">
                  <c:v>206.16213454474334</c:v>
                </c:pt>
                <c:pt idx="4">
                  <c:v>241.20969741734967</c:v>
                </c:pt>
                <c:pt idx="5">
                  <c:v>282.21534597829907</c:v>
                </c:pt>
                <c:pt idx="6">
                  <c:v>330.1919547946099</c:v>
                </c:pt>
                <c:pt idx="7">
                  <c:v>386.3245871096936</c:v>
                </c:pt>
                <c:pt idx="8">
                  <c:v>451.99976691834138</c:v>
                </c:pt>
                <c:pt idx="9">
                  <c:v>528.83972729445941</c:v>
                </c:pt>
                <c:pt idx="10">
                  <c:v>618.74248093451774</c:v>
                </c:pt>
                <c:pt idx="11">
                  <c:v>723.9287026933855</c:v>
                </c:pt>
                <c:pt idx="12">
                  <c:v>846.9965821512609</c:v>
                </c:pt>
                <c:pt idx="13">
                  <c:v>990.98600111697533</c:v>
                </c:pt>
                <c:pt idx="14">
                  <c:v>1159.4536213068609</c:v>
                </c:pt>
                <c:pt idx="15">
                  <c:v>1356.5607369290271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59232"/>
        <c:axId val="140157696"/>
      </c:lineChart>
      <c:catAx>
        <c:axId val="14014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0147712"/>
        <c:crosses val="autoZero"/>
        <c:auto val="1"/>
        <c:lblAlgn val="ctr"/>
        <c:lblOffset val="100"/>
        <c:noMultiLvlLbl val="0"/>
      </c:catAx>
      <c:valAx>
        <c:axId val="140147712"/>
        <c:scaling>
          <c:orientation val="minMax"/>
        </c:scaling>
        <c:delete val="0"/>
        <c:axPos val="l"/>
        <c:majorGridlines/>
        <c:numFmt formatCode="#,###\ &quot;million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40145792"/>
        <c:crosses val="autoZero"/>
        <c:crossBetween val="between"/>
      </c:valAx>
      <c:valAx>
        <c:axId val="140157696"/>
        <c:scaling>
          <c:orientation val="minMax"/>
        </c:scaling>
        <c:delete val="0"/>
        <c:axPos val="r"/>
        <c:numFmt formatCode="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40159232"/>
        <c:crosses val="max"/>
        <c:crossBetween val="between"/>
      </c:valAx>
      <c:catAx>
        <c:axId val="140159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1576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Bitcoin'!$E$108:$E$109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Bitcoin'!$A$63:$A$78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Bitcoin'!$E$110:$E$125</c:f>
              <c:numCache>
                <c:formatCode>#\ "KB"</c:formatCode>
                <c:ptCount val="16"/>
                <c:pt idx="0">
                  <c:v>1168.5</c:v>
                </c:pt>
                <c:pt idx="1">
                  <c:v>1282.5</c:v>
                </c:pt>
                <c:pt idx="2">
                  <c:v>1425</c:v>
                </c:pt>
                <c:pt idx="3">
                  <c:v>1596</c:v>
                </c:pt>
                <c:pt idx="4">
                  <c:v>1824</c:v>
                </c:pt>
                <c:pt idx="5">
                  <c:v>2080.5</c:v>
                </c:pt>
                <c:pt idx="6">
                  <c:v>2422.5</c:v>
                </c:pt>
                <c:pt idx="7">
                  <c:v>2764.5</c:v>
                </c:pt>
                <c:pt idx="8">
                  <c:v>3249</c:v>
                </c:pt>
                <c:pt idx="9">
                  <c:v>3819</c:v>
                </c:pt>
                <c:pt idx="10">
                  <c:v>4360.5</c:v>
                </c:pt>
                <c:pt idx="11">
                  <c:v>5073</c:v>
                </c:pt>
                <c:pt idx="12">
                  <c:v>5985</c:v>
                </c:pt>
                <c:pt idx="13">
                  <c:v>6982.5</c:v>
                </c:pt>
                <c:pt idx="14">
                  <c:v>8265</c:v>
                </c:pt>
                <c:pt idx="15">
                  <c:v>9690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77408"/>
        <c:axId val="140179328"/>
      </c:lineChart>
      <c:lineChart>
        <c:grouping val="standard"/>
        <c:varyColors val="0"/>
        <c:ser>
          <c:idx val="2"/>
          <c:order val="0"/>
          <c:tx>
            <c:strRef>
              <c:f>'Current Bitcoin'!$C$109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'Current Bitcoin'!$A$63:$A$78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Bitcoin'!$C$110:$C$125</c:f>
              <c:numCache>
                <c:formatCode>#,###\ "million"</c:formatCode>
                <c:ptCount val="16"/>
                <c:pt idx="0">
                  <c:v>415</c:v>
                </c:pt>
                <c:pt idx="1">
                  <c:v>544.29759999999999</c:v>
                </c:pt>
                <c:pt idx="2">
                  <c:v>686.20960000000002</c:v>
                </c:pt>
                <c:pt idx="3">
                  <c:v>843.88959999999997</c:v>
                </c:pt>
                <c:pt idx="4">
                  <c:v>1020.4911999999999</c:v>
                </c:pt>
                <c:pt idx="5">
                  <c:v>1222.3216</c:v>
                </c:pt>
                <c:pt idx="6">
                  <c:v>1452.5344</c:v>
                </c:pt>
                <c:pt idx="7">
                  <c:v>1720.5904</c:v>
                </c:pt>
                <c:pt idx="8">
                  <c:v>2026.4896000000001</c:v>
                </c:pt>
                <c:pt idx="9">
                  <c:v>2386</c:v>
                </c:pt>
                <c:pt idx="10">
                  <c:v>2808.5824000000002</c:v>
                </c:pt>
                <c:pt idx="11">
                  <c:v>3291.0832</c:v>
                </c:pt>
                <c:pt idx="12">
                  <c:v>3852.424</c:v>
                </c:pt>
                <c:pt idx="13">
                  <c:v>4514.68</c:v>
                </c:pt>
                <c:pt idx="14">
                  <c:v>5287.3119999999999</c:v>
                </c:pt>
                <c:pt idx="15">
                  <c:v>6201.8559999999998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38624"/>
        <c:axId val="140180864"/>
      </c:lineChart>
      <c:catAx>
        <c:axId val="14017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0179328"/>
        <c:crosses val="autoZero"/>
        <c:auto val="1"/>
        <c:lblAlgn val="ctr"/>
        <c:lblOffset val="100"/>
        <c:noMultiLvlLbl val="0"/>
      </c:catAx>
      <c:valAx>
        <c:axId val="140179328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40177408"/>
        <c:crosses val="autoZero"/>
        <c:crossBetween val="between"/>
      </c:valAx>
      <c:valAx>
        <c:axId val="140180864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62538624"/>
        <c:crosses val="max"/>
        <c:crossBetween val="between"/>
      </c:valAx>
      <c:catAx>
        <c:axId val="16253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1808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983140619236544"/>
          <c:y val="0.29583576426205777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Bitcoin'!$E$128:$E$129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Bitcoin'!$A$63:$A$78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Bitcoin'!$E$130:$E$145</c:f>
              <c:numCache>
                <c:formatCode>#\ "KB"</c:formatCode>
                <c:ptCount val="16"/>
                <c:pt idx="0">
                  <c:v>1197</c:v>
                </c:pt>
                <c:pt idx="1">
                  <c:v>1311</c:v>
                </c:pt>
                <c:pt idx="2">
                  <c:v>1453.5</c:v>
                </c:pt>
                <c:pt idx="3">
                  <c:v>1624.5</c:v>
                </c:pt>
                <c:pt idx="4">
                  <c:v>1852.5</c:v>
                </c:pt>
                <c:pt idx="5">
                  <c:v>2109</c:v>
                </c:pt>
                <c:pt idx="6">
                  <c:v>2451</c:v>
                </c:pt>
                <c:pt idx="7">
                  <c:v>2764.5</c:v>
                </c:pt>
                <c:pt idx="8">
                  <c:v>3277.5</c:v>
                </c:pt>
                <c:pt idx="9">
                  <c:v>3819</c:v>
                </c:pt>
                <c:pt idx="10">
                  <c:v>4417.5</c:v>
                </c:pt>
                <c:pt idx="11">
                  <c:v>5073</c:v>
                </c:pt>
                <c:pt idx="12">
                  <c:v>5985</c:v>
                </c:pt>
                <c:pt idx="13">
                  <c:v>6982.5</c:v>
                </c:pt>
                <c:pt idx="14">
                  <c:v>8265</c:v>
                </c:pt>
                <c:pt idx="15">
                  <c:v>9690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77792"/>
        <c:axId val="162592256"/>
      </c:lineChart>
      <c:lineChart>
        <c:grouping val="standard"/>
        <c:varyColors val="0"/>
        <c:ser>
          <c:idx val="2"/>
          <c:order val="0"/>
          <c:tx>
            <c:strRef>
              <c:f>'Current Bitcoin'!$C$129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'Current Bitcoin'!$A$63:$A$78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Bitcoin'!$C$130:$C$145</c:f>
              <c:numCache>
                <c:formatCode>#,###\ "million"</c:formatCode>
                <c:ptCount val="16"/>
                <c:pt idx="0">
                  <c:v>11300</c:v>
                </c:pt>
                <c:pt idx="1">
                  <c:v>11432.4512</c:v>
                </c:pt>
                <c:pt idx="2">
                  <c:v>11577.516799999999</c:v>
                </c:pt>
                <c:pt idx="3">
                  <c:v>11738.350399999999</c:v>
                </c:pt>
                <c:pt idx="4">
                  <c:v>11918.105599999999</c:v>
                </c:pt>
                <c:pt idx="5">
                  <c:v>12123.089599999999</c:v>
                </c:pt>
                <c:pt idx="6">
                  <c:v>12356.456</c:v>
                </c:pt>
                <c:pt idx="7">
                  <c:v>12627.6656</c:v>
                </c:pt>
                <c:pt idx="8">
                  <c:v>12933.5648</c:v>
                </c:pt>
                <c:pt idx="9">
                  <c:v>13296.228800000001</c:v>
                </c:pt>
                <c:pt idx="10">
                  <c:v>13718.8112</c:v>
                </c:pt>
                <c:pt idx="11">
                  <c:v>14207.619200000001</c:v>
                </c:pt>
                <c:pt idx="12">
                  <c:v>14768.960000000001</c:v>
                </c:pt>
                <c:pt idx="13">
                  <c:v>15431.216</c:v>
                </c:pt>
                <c:pt idx="14">
                  <c:v>16203.848</c:v>
                </c:pt>
                <c:pt idx="15">
                  <c:v>17118.392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99680"/>
        <c:axId val="162593792"/>
      </c:lineChart>
      <c:catAx>
        <c:axId val="16257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2592256"/>
        <c:crosses val="autoZero"/>
        <c:auto val="1"/>
        <c:lblAlgn val="ctr"/>
        <c:lblOffset val="100"/>
        <c:noMultiLvlLbl val="0"/>
      </c:catAx>
      <c:valAx>
        <c:axId val="162592256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62577792"/>
        <c:crosses val="autoZero"/>
        <c:crossBetween val="between"/>
      </c:valAx>
      <c:valAx>
        <c:axId val="162593792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62599680"/>
        <c:crosses val="max"/>
        <c:crossBetween val="between"/>
      </c:valAx>
      <c:catAx>
        <c:axId val="16259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59379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788350662193176"/>
          <c:y val="0.30326380511628248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4316817640134813"/>
          <c:w val="0.77178597219167622"/>
          <c:h val="0.71629036621118736"/>
        </c:manualLayout>
      </c:layout>
      <c:lineChart>
        <c:grouping val="standard"/>
        <c:varyColors val="0"/>
        <c:ser>
          <c:idx val="2"/>
          <c:order val="0"/>
          <c:tx>
            <c:strRef>
              <c:f>'Current Bitcoin'!$D$287:$D$288</c:f>
              <c:strCache>
                <c:ptCount val="1"/>
                <c:pt idx="0">
                  <c:v>Expected UTXO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'Current Bitcoin'!$A$289:$A$304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Bitcoin'!$D$289:$D$304</c:f>
              <c:numCache>
                <c:formatCode>#,###\ "GB"</c:formatCode>
                <c:ptCount val="16"/>
                <c:pt idx="0">
                  <c:v>3</c:v>
                </c:pt>
                <c:pt idx="1">
                  <c:v>4.5</c:v>
                </c:pt>
                <c:pt idx="2">
                  <c:v>6.75</c:v>
                </c:pt>
                <c:pt idx="3">
                  <c:v>10.125</c:v>
                </c:pt>
                <c:pt idx="4">
                  <c:v>15.1875</c:v>
                </c:pt>
                <c:pt idx="5">
                  <c:v>22.78125</c:v>
                </c:pt>
                <c:pt idx="6">
                  <c:v>34.171875</c:v>
                </c:pt>
                <c:pt idx="7">
                  <c:v>51.2578125</c:v>
                </c:pt>
                <c:pt idx="8">
                  <c:v>76.88671875</c:v>
                </c:pt>
                <c:pt idx="9">
                  <c:v>115.330078125</c:v>
                </c:pt>
                <c:pt idx="10">
                  <c:v>172.9951171875</c:v>
                </c:pt>
                <c:pt idx="11">
                  <c:v>259.49267578125</c:v>
                </c:pt>
                <c:pt idx="12">
                  <c:v>364.61267578125</c:v>
                </c:pt>
                <c:pt idx="13">
                  <c:v>469.73267578125001</c:v>
                </c:pt>
                <c:pt idx="14">
                  <c:v>574.85267578125001</c:v>
                </c:pt>
                <c:pt idx="15">
                  <c:v>679.97267578125002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'Current Bitcoin'!$C$287:$C$288</c:f>
              <c:strCache>
                <c:ptCount val="1"/>
                <c:pt idx="0">
                  <c:v>Max UTXO Size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'Current Bitcoin'!$A$289:$A$304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Bitcoin'!$C$289:$C$304</c:f>
              <c:numCache>
                <c:formatCode>#,###\ "GB"</c:formatCode>
                <c:ptCount val="16"/>
                <c:pt idx="0">
                  <c:v>1.3333333333333335</c:v>
                </c:pt>
                <c:pt idx="1">
                  <c:v>1.5333333333333334</c:v>
                </c:pt>
                <c:pt idx="2">
                  <c:v>1.7633333333333334</c:v>
                </c:pt>
                <c:pt idx="3">
                  <c:v>2.0278333333333332</c:v>
                </c:pt>
                <c:pt idx="4">
                  <c:v>2.332008333333333</c:v>
                </c:pt>
                <c:pt idx="5">
                  <c:v>2.6818095833333331</c:v>
                </c:pt>
                <c:pt idx="6">
                  <c:v>3.0840810208333327</c:v>
                </c:pt>
                <c:pt idx="7">
                  <c:v>3.5466931739583316</c:v>
                </c:pt>
                <c:pt idx="8">
                  <c:v>4.078697150052081</c:v>
                </c:pt>
                <c:pt idx="9">
                  <c:v>4.6905017225598931</c:v>
                </c:pt>
                <c:pt idx="10">
                  <c:v>5.3940769809438764</c:v>
                </c:pt>
                <c:pt idx="11">
                  <c:v>6.2031885280854571</c:v>
                </c:pt>
                <c:pt idx="12">
                  <c:v>7.1336668072982734</c:v>
                </c:pt>
                <c:pt idx="13">
                  <c:v>8.2037168283930164</c:v>
                </c:pt>
                <c:pt idx="14">
                  <c:v>9.4342743526519683</c:v>
                </c:pt>
                <c:pt idx="15">
                  <c:v>10.849415505549761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22848"/>
        <c:axId val="162633216"/>
      </c:lineChart>
      <c:catAx>
        <c:axId val="16262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2633216"/>
        <c:crosses val="autoZero"/>
        <c:auto val="1"/>
        <c:lblAlgn val="ctr"/>
        <c:lblOffset val="100"/>
        <c:noMultiLvlLbl val="0"/>
      </c:catAx>
      <c:valAx>
        <c:axId val="162633216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162622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742612288286511"/>
          <c:y val="0.34783205024163066"/>
          <c:w val="0.30811522254916468"/>
          <c:h val="0.134320619393327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9413839741069"/>
          <c:y val="6.517388451443569E-2"/>
          <c:w val="0.66182031264882168"/>
          <c:h val="0.7942848459732007"/>
        </c:manualLayout>
      </c:layout>
      <c:lineChart>
        <c:grouping val="standard"/>
        <c:varyColors val="0"/>
        <c:ser>
          <c:idx val="0"/>
          <c:order val="0"/>
          <c:tx>
            <c:strRef>
              <c:f>'Current Bitcoin'!$C$216:$C$217</c:f>
              <c:strCache>
                <c:ptCount val="1"/>
                <c:pt idx="0">
                  <c:v>Equivalent Blocksize</c:v>
                </c:pt>
              </c:strCache>
            </c:strRef>
          </c:tx>
          <c:marker>
            <c:symbol val="none"/>
          </c:marker>
          <c:cat>
            <c:numRef>
              <c:f>'Current Bitcoin'!$A$63:$A$78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Bitcoin'!$C$218:$C$233</c:f>
              <c:numCache>
                <c:formatCode>#.0\ "MB"</c:formatCode>
                <c:ptCount val="16"/>
                <c:pt idx="0">
                  <c:v>5.7</c:v>
                </c:pt>
                <c:pt idx="1">
                  <c:v>6.6689999999999996</c:v>
                </c:pt>
                <c:pt idx="2">
                  <c:v>7.8027299999999995</c:v>
                </c:pt>
                <c:pt idx="3">
                  <c:v>9.1291940999999976</c:v>
                </c:pt>
                <c:pt idx="4">
                  <c:v>10.681157096999998</c:v>
                </c:pt>
                <c:pt idx="5">
                  <c:v>12.496953803489996</c:v>
                </c:pt>
                <c:pt idx="6">
                  <c:v>14.621435950083294</c:v>
                </c:pt>
                <c:pt idx="7">
                  <c:v>17.107080061597451</c:v>
                </c:pt>
                <c:pt idx="8">
                  <c:v>20.015283672069017</c:v>
                </c:pt>
                <c:pt idx="9">
                  <c:v>23.417881896320743</c:v>
                </c:pt>
                <c:pt idx="10">
                  <c:v>27.398921818695278</c:v>
                </c:pt>
                <c:pt idx="11">
                  <c:v>32.05673852787347</c:v>
                </c:pt>
                <c:pt idx="12">
                  <c:v>37.506384077611948</c:v>
                </c:pt>
                <c:pt idx="13">
                  <c:v>43.882469370805978</c:v>
                </c:pt>
                <c:pt idx="14">
                  <c:v>51.342489163842998</c:v>
                </c:pt>
                <c:pt idx="15">
                  <c:v>60.070712321696298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51520"/>
        <c:axId val="162678272"/>
      </c:lineChart>
      <c:lineChart>
        <c:grouping val="standard"/>
        <c:varyColors val="0"/>
        <c:ser>
          <c:idx val="2"/>
          <c:order val="1"/>
          <c:tx>
            <c:strRef>
              <c:f>'Current Bitcoin'!$B$217</c:f>
              <c:strCache>
                <c:ptCount val="1"/>
                <c:pt idx="0">
                  <c:v>Max Tps</c:v>
                </c:pt>
              </c:strCache>
            </c:strRef>
          </c:tx>
          <c:marker>
            <c:symbol val="none"/>
          </c:marker>
          <c:cat>
            <c:numRef>
              <c:f>'Current Bitcoin'!$A$218:$A$233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Bitcoin'!$B$218:$B$233</c:f>
              <c:numCache>
                <c:formatCode>#,###.0\ "tps"</c:formatCode>
                <c:ptCount val="16"/>
                <c:pt idx="0">
                  <c:v>20</c:v>
                </c:pt>
                <c:pt idx="1">
                  <c:v>23.4</c:v>
                </c:pt>
                <c:pt idx="2">
                  <c:v>27.377999999999997</c:v>
                </c:pt>
                <c:pt idx="3">
                  <c:v>32.032259999999994</c:v>
                </c:pt>
                <c:pt idx="4">
                  <c:v>37.477744199999989</c:v>
                </c:pt>
                <c:pt idx="5">
                  <c:v>43.848960713999986</c:v>
                </c:pt>
                <c:pt idx="6">
                  <c:v>51.303284035379981</c:v>
                </c:pt>
                <c:pt idx="7">
                  <c:v>60.024842321394573</c:v>
                </c:pt>
                <c:pt idx="8">
                  <c:v>70.229065516031639</c:v>
                </c:pt>
                <c:pt idx="9">
                  <c:v>82.168006653757004</c:v>
                </c:pt>
                <c:pt idx="10">
                  <c:v>96.136567784895703</c:v>
                </c:pt>
                <c:pt idx="11">
                  <c:v>112.47978430832796</c:v>
                </c:pt>
                <c:pt idx="12">
                  <c:v>131.60134764074368</c:v>
                </c:pt>
                <c:pt idx="13">
                  <c:v>153.97357673967011</c:v>
                </c:pt>
                <c:pt idx="14">
                  <c:v>180.14908478541403</c:v>
                </c:pt>
                <c:pt idx="15">
                  <c:v>210.7744291989344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85696"/>
        <c:axId val="162679808"/>
      </c:lineChart>
      <c:catAx>
        <c:axId val="16265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2678272"/>
        <c:crosses val="autoZero"/>
        <c:auto val="1"/>
        <c:lblAlgn val="ctr"/>
        <c:lblOffset val="100"/>
        <c:noMultiLvlLbl val="0"/>
      </c:catAx>
      <c:valAx>
        <c:axId val="162678272"/>
        <c:scaling>
          <c:orientation val="minMax"/>
        </c:scaling>
        <c:delete val="0"/>
        <c:axPos val="l"/>
        <c:majorGridlines/>
        <c:numFmt formatCode="#.0\ &quot;M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62651520"/>
        <c:crosses val="autoZero"/>
        <c:crossBetween val="between"/>
      </c:valAx>
      <c:valAx>
        <c:axId val="162679808"/>
        <c:scaling>
          <c:orientation val="minMax"/>
        </c:scaling>
        <c:delete val="0"/>
        <c:axPos val="r"/>
        <c:numFmt formatCode="#,###.0\ &quot;tps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62685696"/>
        <c:crosses val="max"/>
        <c:crossBetween val="between"/>
      </c:valAx>
      <c:catAx>
        <c:axId val="16268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67980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9841772429313345"/>
          <c:y val="0.21191201976945864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4316817640134813"/>
          <c:w val="0.77178597219167622"/>
          <c:h val="0.71629036621118736"/>
        </c:manualLayout>
      </c:layout>
      <c:lineChart>
        <c:grouping val="standard"/>
        <c:varyColors val="0"/>
        <c:ser>
          <c:idx val="2"/>
          <c:order val="0"/>
          <c:tx>
            <c:strRef>
              <c:f>'Current Bitcoin'!$C$239:$C$240</c:f>
              <c:strCache>
                <c:ptCount val="1"/>
                <c:pt idx="0">
                  <c:v>Expected UTXO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'Current Bitcoin'!$A$241:$A$256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Bitcoin'!$C$241:$C$256</c:f>
              <c:numCache>
                <c:formatCode>#,###\ "GB"</c:formatCode>
                <c:ptCount val="16"/>
                <c:pt idx="0">
                  <c:v>3</c:v>
                </c:pt>
                <c:pt idx="1">
                  <c:v>4.5</c:v>
                </c:pt>
                <c:pt idx="2">
                  <c:v>6.75</c:v>
                </c:pt>
                <c:pt idx="3">
                  <c:v>10.125</c:v>
                </c:pt>
                <c:pt idx="4">
                  <c:v>15.1875</c:v>
                </c:pt>
                <c:pt idx="5">
                  <c:v>22.78125</c:v>
                </c:pt>
                <c:pt idx="6">
                  <c:v>34.171875</c:v>
                </c:pt>
                <c:pt idx="7">
                  <c:v>51.2578125</c:v>
                </c:pt>
                <c:pt idx="8">
                  <c:v>76.88671875</c:v>
                </c:pt>
                <c:pt idx="9">
                  <c:v>115.330078125</c:v>
                </c:pt>
                <c:pt idx="10">
                  <c:v>172.9951171875</c:v>
                </c:pt>
                <c:pt idx="11">
                  <c:v>259.49267578125</c:v>
                </c:pt>
                <c:pt idx="12">
                  <c:v>364.61267578125</c:v>
                </c:pt>
                <c:pt idx="13">
                  <c:v>469.73267578125001</c:v>
                </c:pt>
                <c:pt idx="14">
                  <c:v>574.85267578125001</c:v>
                </c:pt>
                <c:pt idx="15">
                  <c:v>679.97267578125002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'Current Bitcoin'!$B$239:$B$240</c:f>
              <c:strCache>
                <c:ptCount val="1"/>
                <c:pt idx="0">
                  <c:v>Max UTXO Size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'Current Bitcoin'!$A$241:$A$256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Bitcoin'!$B$241:$B$256</c:f>
              <c:numCache>
                <c:formatCode>#,###\ "GB"</c:formatCode>
                <c:ptCount val="16"/>
                <c:pt idx="0">
                  <c:v>25</c:v>
                </c:pt>
                <c:pt idx="1">
                  <c:v>31.25</c:v>
                </c:pt>
                <c:pt idx="2">
                  <c:v>39.0625</c:v>
                </c:pt>
                <c:pt idx="3">
                  <c:v>48.828125</c:v>
                </c:pt>
                <c:pt idx="4">
                  <c:v>61.03515625</c:v>
                </c:pt>
                <c:pt idx="5">
                  <c:v>76.2939453125</c:v>
                </c:pt>
                <c:pt idx="6">
                  <c:v>95.367431640625</c:v>
                </c:pt>
                <c:pt idx="7">
                  <c:v>119.20928955078125</c:v>
                </c:pt>
                <c:pt idx="8">
                  <c:v>149.01161193847656</c:v>
                </c:pt>
                <c:pt idx="9">
                  <c:v>186.2645149230957</c:v>
                </c:pt>
                <c:pt idx="10">
                  <c:v>232.83064365386963</c:v>
                </c:pt>
                <c:pt idx="11">
                  <c:v>291.03830456733704</c:v>
                </c:pt>
                <c:pt idx="12">
                  <c:v>363.7978807091713</c:v>
                </c:pt>
                <c:pt idx="13">
                  <c:v>454.74735088646412</c:v>
                </c:pt>
                <c:pt idx="14">
                  <c:v>568.43418860808015</c:v>
                </c:pt>
                <c:pt idx="15">
                  <c:v>710.54273576010019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692096"/>
        <c:axId val="162727040"/>
      </c:lineChart>
      <c:catAx>
        <c:axId val="16269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2727040"/>
        <c:crosses val="autoZero"/>
        <c:auto val="1"/>
        <c:lblAlgn val="ctr"/>
        <c:lblOffset val="100"/>
        <c:noMultiLvlLbl val="0"/>
      </c:catAx>
      <c:valAx>
        <c:axId val="162727040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162692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020974942234783"/>
          <c:y val="0.34040400938740595"/>
          <c:w val="0.30811522254916468"/>
          <c:h val="0.134320619393327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6.517388451443569E-2"/>
          <c:w val="0.7530529535572057"/>
          <c:h val="0.7942848459732007"/>
        </c:manualLayout>
      </c:layout>
      <c:lineChart>
        <c:grouping val="standard"/>
        <c:varyColors val="0"/>
        <c:ser>
          <c:idx val="2"/>
          <c:order val="0"/>
          <c:tx>
            <c:strRef>
              <c:f>'Near-future Bitcoin'!$E$15</c:f>
              <c:strCache>
                <c:ptCount val="1"/>
                <c:pt idx="0">
                  <c:v>Blocksize</c:v>
                </c:pt>
              </c:strCache>
            </c:strRef>
          </c:tx>
          <c:marker>
            <c:symbol val="none"/>
          </c:marker>
          <c:cat>
            <c:numRef>
              <c:f>'Current Bitcoin'!$A$63:$A$78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'Near-future Bitcoin'!$E$16:$E$31</c:f>
              <c:numCache>
                <c:formatCode>#,###.0\ "MB"</c:formatCode>
                <c:ptCount val="16"/>
                <c:pt idx="0">
                  <c:v>0.14541204609697764</c:v>
                </c:pt>
                <c:pt idx="1">
                  <c:v>0.1569634703196347</c:v>
                </c:pt>
                <c:pt idx="2">
                  <c:v>0.15900195694716243</c:v>
                </c:pt>
                <c:pt idx="3">
                  <c:v>0.14294887475538159</c:v>
                </c:pt>
                <c:pt idx="4">
                  <c:v>9.4980736301369911E-2</c:v>
                </c:pt>
                <c:pt idx="5">
                  <c:v>-6.8321153375733579E-3</c:v>
                </c:pt>
                <c:pt idx="6">
                  <c:v>-0.19687719774339538</c:v>
                </c:pt>
                <c:pt idx="7">
                  <c:v>-0.5286020775363871</c:v>
                </c:pt>
                <c:pt idx="8">
                  <c:v>-1.0845109674561981</c:v>
                </c:pt>
                <c:pt idx="9">
                  <c:v>-1.9912762651238189</c:v>
                </c:pt>
                <c:pt idx="10">
                  <c:v>-3.4425516651101309</c:v>
                </c:pt>
                <c:pt idx="11">
                  <c:v>-5.7333740819456986</c:v>
                </c:pt>
                <c:pt idx="12">
                  <c:v>-8.4976313277855482</c:v>
                </c:pt>
                <c:pt idx="13">
                  <c:v>-11.083905266037739</c:v>
                </c:pt>
                <c:pt idx="14">
                  <c:v>-13.447700069805354</c:v>
                </c:pt>
                <c:pt idx="15">
                  <c:v>-15.53339595546726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91264"/>
        <c:axId val="66441600"/>
      </c:lineChart>
      <c:catAx>
        <c:axId val="6609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6441600"/>
        <c:crosses val="autoZero"/>
        <c:auto val="1"/>
        <c:lblAlgn val="ctr"/>
        <c:lblOffset val="100"/>
        <c:noMultiLvlLbl val="0"/>
      </c:catAx>
      <c:valAx>
        <c:axId val="66441600"/>
        <c:scaling>
          <c:orientation val="minMax"/>
        </c:scaling>
        <c:delete val="0"/>
        <c:axPos val="l"/>
        <c:majorGridlines/>
        <c:numFmt formatCode="#,###.0\ &quot;M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75000"/>
                  </a:schemeClr>
                </a:solidFill>
              </a:defRPr>
            </a:pPr>
            <a:endParaRPr lang="en-US"/>
          </a:p>
        </c:txPr>
        <c:crossAx val="660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618770298736946"/>
          <c:y val="0.34836426148485827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61</xdr:row>
      <xdr:rowOff>28575</xdr:rowOff>
    </xdr:from>
    <xdr:to>
      <xdr:col>10</xdr:col>
      <xdr:colOff>447675</xdr:colOff>
      <xdr:row>78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83</xdr:row>
      <xdr:rowOff>85725</xdr:rowOff>
    </xdr:from>
    <xdr:to>
      <xdr:col>10</xdr:col>
      <xdr:colOff>400049</xdr:colOff>
      <xdr:row>100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146</xdr:row>
      <xdr:rowOff>76199</xdr:rowOff>
    </xdr:from>
    <xdr:to>
      <xdr:col>4</xdr:col>
      <xdr:colOff>361949</xdr:colOff>
      <xdr:row>164</xdr:row>
      <xdr:rowOff>66674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609600</xdr:colOff>
      <xdr:row>146</xdr:row>
      <xdr:rowOff>47625</xdr:rowOff>
    </xdr:from>
    <xdr:to>
      <xdr:col>10</xdr:col>
      <xdr:colOff>219074</xdr:colOff>
      <xdr:row>164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161924</xdr:colOff>
      <xdr:row>285</xdr:row>
      <xdr:rowOff>104775</xdr:rowOff>
    </xdr:from>
    <xdr:to>
      <xdr:col>10</xdr:col>
      <xdr:colOff>323849</xdr:colOff>
      <xdr:row>303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214</xdr:row>
      <xdr:rowOff>133350</xdr:rowOff>
    </xdr:from>
    <xdr:to>
      <xdr:col>9</xdr:col>
      <xdr:colOff>133349</xdr:colOff>
      <xdr:row>231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1066800</xdr:colOff>
      <xdr:row>238</xdr:row>
      <xdr:rowOff>57150</xdr:rowOff>
    </xdr:from>
    <xdr:to>
      <xdr:col>8</xdr:col>
      <xdr:colOff>723900</xdr:colOff>
      <xdr:row>256</xdr:row>
      <xdr:rowOff>47625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0.22887</cdr:x>
      <cdr:y>0.03064</cdr:y>
    </cdr:from>
    <cdr:to>
      <cdr:x>0.76495</cdr:x>
      <cdr:y>0.10864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275" y="104776"/>
          <a:ext cx="24765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Transactions</a:t>
          </a:r>
          <a:r>
            <a:rPr lang="en-US" sz="1100" b="1" baseline="0"/>
            <a:t> (@ t=</a:t>
          </a:r>
          <a:r>
            <a:rPr lang="en-US" sz="1100" b="1"/>
            <a:t>0) = 415 million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</cdr:x>
      <cdr:y>0.02507</cdr:y>
    </cdr:from>
    <cdr:to>
      <cdr:x>0.73608</cdr:x>
      <cdr:y>0.10307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3943" y="85723"/>
          <a:ext cx="2476488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TPS</a:t>
          </a:r>
          <a:r>
            <a:rPr lang="en-US" sz="1100" b="1" baseline="0"/>
            <a:t> (@ t=</a:t>
          </a:r>
          <a:r>
            <a:rPr lang="en-US" sz="1100" b="1"/>
            <a:t>0) = 4.2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0.2366</cdr:x>
      <cdr:y>0.02878</cdr:y>
    </cdr:from>
    <cdr:to>
      <cdr:x>0.79954</cdr:x>
      <cdr:y>0.10678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9500" y="98425"/>
          <a:ext cx="2568399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UTXO</a:t>
          </a:r>
          <a:r>
            <a:rPr lang="en-US" sz="1100" b="1" baseline="0"/>
            <a:t> Set Size Based on Memory Usage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0.2366</cdr:x>
      <cdr:y>0.02878</cdr:y>
    </cdr:from>
    <cdr:to>
      <cdr:x>0.79954</cdr:x>
      <cdr:y>0.10678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9500" y="98425"/>
          <a:ext cx="2568399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UTXO</a:t>
          </a:r>
          <a:r>
            <a:rPr lang="en-US" sz="1100" b="1" baseline="0"/>
            <a:t> Set Size Based on Disk Usage</a:t>
          </a:r>
          <a:endParaRPr lang="en-US" sz="11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57151</xdr:colOff>
      <xdr:row>14</xdr:row>
      <xdr:rowOff>0</xdr:rowOff>
    </xdr:from>
    <xdr:to>
      <xdr:col>12</xdr:col>
      <xdr:colOff>19050</xdr:colOff>
      <xdr:row>31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419"/>
  <sheetViews>
    <sheetView tabSelected="1" topLeftCell="A12" workbookViewId="0">
      <pane ySplit="2100" topLeftCell="A25" activePane="bottomLeft"/>
      <selection activeCell="F16" sqref="F16"/>
      <selection pane="bottomLeft" activeCell="H404" sqref="H404"/>
    </sheetView>
  </sheetViews>
  <sheetFormatPr defaultRowHeight="15" x14ac:dyDescent="0.25"/>
  <cols>
    <col min="1" max="1" width="12" customWidth="1"/>
    <col min="2" max="2" width="14.140625" customWidth="1"/>
    <col min="3" max="3" width="15.28515625" customWidth="1"/>
    <col min="4" max="4" width="16.28515625" customWidth="1"/>
    <col min="5" max="5" width="12.5703125" customWidth="1"/>
    <col min="6" max="6" width="12.85546875" customWidth="1"/>
    <col min="7" max="7" width="17.28515625" customWidth="1"/>
    <col min="8" max="8" width="15.5703125" customWidth="1"/>
    <col min="9" max="9" width="12" bestFit="1" customWidth="1"/>
    <col min="10" max="10" width="11.5703125" customWidth="1"/>
    <col min="11" max="12" width="11" customWidth="1"/>
    <col min="14" max="14" width="13.140625" customWidth="1"/>
  </cols>
  <sheetData>
    <row r="1" spans="1:14" s="78" customFormat="1" x14ac:dyDescent="0.25">
      <c r="A1" s="83" t="s">
        <v>205</v>
      </c>
    </row>
    <row r="2" spans="1:14" s="78" customFormat="1" x14ac:dyDescent="0.25"/>
    <row r="3" spans="1:14" s="78" customFormat="1" x14ac:dyDescent="0.25">
      <c r="A3" s="180" t="s">
        <v>0</v>
      </c>
      <c r="C3" s="180" t="s">
        <v>195</v>
      </c>
      <c r="E3" s="229" t="s">
        <v>252</v>
      </c>
      <c r="J3" s="180" t="s">
        <v>71</v>
      </c>
      <c r="K3" s="180" t="s">
        <v>70</v>
      </c>
      <c r="M3" s="180" t="s">
        <v>14</v>
      </c>
      <c r="N3" s="180" t="s">
        <v>36</v>
      </c>
    </row>
    <row r="4" spans="1:14" s="78" customFormat="1" x14ac:dyDescent="0.25">
      <c r="A4" s="180" t="s">
        <v>73</v>
      </c>
      <c r="B4" s="180" t="s">
        <v>1</v>
      </c>
      <c r="C4" s="180" t="s">
        <v>193</v>
      </c>
      <c r="D4" s="180" t="s">
        <v>194</v>
      </c>
      <c r="E4" s="227" t="s">
        <v>1</v>
      </c>
      <c r="F4" s="180" t="s">
        <v>2</v>
      </c>
      <c r="G4" s="180" t="s">
        <v>3</v>
      </c>
      <c r="H4" s="180" t="s">
        <v>10</v>
      </c>
      <c r="I4" s="180" t="s">
        <v>122</v>
      </c>
      <c r="J4" s="180" t="s">
        <v>54</v>
      </c>
      <c r="K4" s="180" t="s">
        <v>54</v>
      </c>
      <c r="L4" s="180" t="s">
        <v>14</v>
      </c>
      <c r="M4" s="180" t="s">
        <v>15</v>
      </c>
      <c r="N4" s="180" t="s">
        <v>15</v>
      </c>
    </row>
    <row r="5" spans="1:14" s="78" customFormat="1" x14ac:dyDescent="0.25">
      <c r="A5" s="80" t="s">
        <v>206</v>
      </c>
      <c r="B5" s="58">
        <v>50</v>
      </c>
      <c r="C5" s="59">
        <v>1000</v>
      </c>
      <c r="D5" s="230">
        <f>MIN(B5,(C5/mbToGB)/(secondsPerYear/12))</f>
        <v>3.0441400304414001</v>
      </c>
      <c r="E5" s="230">
        <f>MIN(B5,(C5/mbToGB)*(30/L5)/(secondsPerYear/12))</f>
        <v>13.046314416177429</v>
      </c>
      <c r="F5" s="59">
        <v>500</v>
      </c>
      <c r="G5" s="59">
        <v>4</v>
      </c>
      <c r="H5" s="60">
        <v>2000</v>
      </c>
      <c r="I5" s="114">
        <v>130</v>
      </c>
      <c r="J5" s="85">
        <v>8</v>
      </c>
      <c r="K5" s="65">
        <f>($J$15*0.9+$J$14*0.1)/publicNodePercent</f>
        <v>80</v>
      </c>
      <c r="L5" s="61">
        <v>7</v>
      </c>
      <c r="M5" s="84">
        <v>0.5</v>
      </c>
      <c r="N5" s="84">
        <v>0.1</v>
      </c>
    </row>
    <row r="6" spans="1:14" s="78" customFormat="1" x14ac:dyDescent="0.25">
      <c r="A6" s="80" t="s">
        <v>207</v>
      </c>
      <c r="B6" s="58">
        <v>9</v>
      </c>
      <c r="C6" s="59">
        <v>10</v>
      </c>
      <c r="D6" s="230">
        <f>MIN(B6,(C6/mbToGB)/(secondsPerYear/12))</f>
        <v>3.0441400304414001E-2</v>
      </c>
      <c r="E6" s="230">
        <f>MIN(B6,(C6/mbToGB)*(30/L6)/(secondsPerYear/12))</f>
        <v>0.13046314416177429</v>
      </c>
      <c r="F6" s="59">
        <v>250</v>
      </c>
      <c r="G6" s="59">
        <v>2</v>
      </c>
      <c r="H6" s="60">
        <v>200</v>
      </c>
      <c r="I6" s="114">
        <v>130</v>
      </c>
      <c r="J6" s="85">
        <v>8</v>
      </c>
      <c r="K6" s="85">
        <v>0</v>
      </c>
      <c r="L6" s="61">
        <v>7</v>
      </c>
      <c r="M6" s="84">
        <v>0.75</v>
      </c>
      <c r="N6" s="84">
        <v>0.1</v>
      </c>
    </row>
    <row r="7" spans="1:14" s="78" customFormat="1" x14ac:dyDescent="0.25">
      <c r="A7" s="80" t="s">
        <v>208</v>
      </c>
      <c r="B7" s="58">
        <v>150</v>
      </c>
      <c r="C7" s="188">
        <v>9999999</v>
      </c>
      <c r="D7" s="230">
        <f>MIN(B7,(C7/mbToGB)/(secondsPerYear/12))</f>
        <v>150</v>
      </c>
      <c r="E7" s="230">
        <f>MIN(B7,(C7/mbToGB)*(30/L7)/(secondsPerYear/12))</f>
        <v>150</v>
      </c>
      <c r="F7" s="59">
        <v>2000</v>
      </c>
      <c r="G7" s="59">
        <v>16</v>
      </c>
      <c r="H7" s="60">
        <v>20000</v>
      </c>
      <c r="I7" s="114">
        <v>130</v>
      </c>
      <c r="J7" s="85">
        <v>8</v>
      </c>
      <c r="K7" s="65">
        <f>($J$15*0.9+$J$14*0.1)/publicNodePercent</f>
        <v>80</v>
      </c>
      <c r="L7" s="61">
        <v>7</v>
      </c>
      <c r="M7" s="84">
        <v>0.5</v>
      </c>
      <c r="N7" s="84">
        <v>0.1</v>
      </c>
    </row>
    <row r="8" spans="1:14" s="78" customFormat="1" x14ac:dyDescent="0.25">
      <c r="A8" s="80" t="s">
        <v>209</v>
      </c>
      <c r="B8" s="58">
        <v>17</v>
      </c>
      <c r="C8" s="59">
        <v>1000</v>
      </c>
      <c r="D8" s="230">
        <f>MIN(B8,(C8/mbToGB)/(secondsPerYear/12))</f>
        <v>3.0441400304414001</v>
      </c>
      <c r="E8" s="230">
        <f>MIN(B8,(C8/mbToGB)*(30/L8)/(secondsPerYear/12))</f>
        <v>13.046314416177429</v>
      </c>
      <c r="F8" s="59">
        <v>500</v>
      </c>
      <c r="G8" s="59">
        <v>4</v>
      </c>
      <c r="H8" s="60">
        <v>2000</v>
      </c>
      <c r="I8" s="114">
        <v>130</v>
      </c>
      <c r="J8" s="85">
        <v>8</v>
      </c>
      <c r="K8" s="85">
        <v>0</v>
      </c>
      <c r="L8" s="61">
        <v>7</v>
      </c>
      <c r="M8" s="84">
        <v>0.75</v>
      </c>
      <c r="N8" s="84">
        <v>0.1</v>
      </c>
    </row>
    <row r="9" spans="1:14" s="78" customFormat="1" x14ac:dyDescent="0.25"/>
    <row r="10" spans="1:14" s="78" customFormat="1" x14ac:dyDescent="0.25">
      <c r="A10" s="83" t="s">
        <v>204</v>
      </c>
    </row>
    <row r="11" spans="1:14" s="78" customFormat="1" x14ac:dyDescent="0.25">
      <c r="A11" s="83"/>
    </row>
    <row r="12" spans="1:14" x14ac:dyDescent="0.25">
      <c r="A12" s="1" t="s">
        <v>0</v>
      </c>
      <c r="C12" s="175" t="s">
        <v>195</v>
      </c>
      <c r="E12" s="229" t="s">
        <v>252</v>
      </c>
      <c r="J12" s="1" t="s">
        <v>71</v>
      </c>
      <c r="K12" s="1" t="s">
        <v>70</v>
      </c>
      <c r="M12" s="1" t="s">
        <v>14</v>
      </c>
      <c r="N12" s="1" t="s">
        <v>36</v>
      </c>
    </row>
    <row r="13" spans="1:14" x14ac:dyDescent="0.25">
      <c r="A13" s="1" t="s">
        <v>73</v>
      </c>
      <c r="B13" s="1" t="s">
        <v>1</v>
      </c>
      <c r="C13" s="175" t="s">
        <v>193</v>
      </c>
      <c r="D13" s="175" t="s">
        <v>194</v>
      </c>
      <c r="E13" s="229" t="s">
        <v>1</v>
      </c>
      <c r="F13" s="1" t="s">
        <v>2</v>
      </c>
      <c r="G13" s="1" t="s">
        <v>3</v>
      </c>
      <c r="H13" s="1" t="s">
        <v>10</v>
      </c>
      <c r="I13" s="1" t="s">
        <v>122</v>
      </c>
      <c r="J13" s="1" t="s">
        <v>54</v>
      </c>
      <c r="K13" s="1" t="s">
        <v>54</v>
      </c>
      <c r="L13" s="1" t="s">
        <v>14</v>
      </c>
      <c r="M13" s="1" t="s">
        <v>15</v>
      </c>
      <c r="N13" s="1" t="s">
        <v>15</v>
      </c>
    </row>
    <row r="14" spans="1:14" x14ac:dyDescent="0.25">
      <c r="A14" s="246" t="s">
        <v>206</v>
      </c>
      <c r="B14" s="256">
        <v>50</v>
      </c>
      <c r="C14" s="257">
        <v>1000</v>
      </c>
      <c r="D14" s="284">
        <f>MIN(B14,(C14/mbToGB)/(secondsPerYear/12))</f>
        <v>3.0441400304414001</v>
      </c>
      <c r="E14" s="284">
        <f>MIN(B14,(C14/mbToGB)*(30/L14)/(secondsPerYear/12))</f>
        <v>13.046314416177429</v>
      </c>
      <c r="F14" s="257">
        <v>500</v>
      </c>
      <c r="G14" s="257">
        <v>4</v>
      </c>
      <c r="H14" s="258">
        <v>2000</v>
      </c>
      <c r="I14" s="264">
        <v>130</v>
      </c>
      <c r="J14" s="249">
        <v>8</v>
      </c>
      <c r="K14" s="260">
        <f>($J$15*0.9+$J$14*0.1)/publicNodePercent</f>
        <v>80</v>
      </c>
      <c r="L14" s="259">
        <v>7</v>
      </c>
      <c r="M14" s="248">
        <v>0.5</v>
      </c>
      <c r="N14" s="248">
        <v>0.1</v>
      </c>
    </row>
    <row r="15" spans="1:14" x14ac:dyDescent="0.25">
      <c r="A15" s="246" t="s">
        <v>207</v>
      </c>
      <c r="B15" s="256">
        <v>9</v>
      </c>
      <c r="C15" s="257">
        <v>10</v>
      </c>
      <c r="D15" s="284">
        <f>MIN(B15,(C15/mbToGB)/(secondsPerYear/12))</f>
        <v>3.0441400304414001E-2</v>
      </c>
      <c r="E15" s="284">
        <f>MIN(B15,(C15/mbToGB)*(30/L15)/(secondsPerYear/12))</f>
        <v>0.13046314416177429</v>
      </c>
      <c r="F15" s="257">
        <v>250</v>
      </c>
      <c r="G15" s="257">
        <v>2</v>
      </c>
      <c r="H15" s="258">
        <v>200</v>
      </c>
      <c r="I15" s="264">
        <v>130</v>
      </c>
      <c r="J15" s="249">
        <v>8</v>
      </c>
      <c r="K15" s="249">
        <v>0</v>
      </c>
      <c r="L15" s="259">
        <v>7</v>
      </c>
      <c r="M15" s="248">
        <v>0.75</v>
      </c>
      <c r="N15" s="248">
        <v>0.1</v>
      </c>
    </row>
    <row r="16" spans="1:14" x14ac:dyDescent="0.25">
      <c r="A16" s="2" t="s">
        <v>8</v>
      </c>
      <c r="B16" s="147">
        <v>0.25</v>
      </c>
      <c r="C16" s="182">
        <f>bandwidthGrowth</f>
        <v>0.25</v>
      </c>
      <c r="E16" s="78"/>
      <c r="F16" s="147">
        <v>0.25</v>
      </c>
      <c r="G16" s="147">
        <v>0.15</v>
      </c>
      <c r="H16" s="147">
        <v>0.17</v>
      </c>
      <c r="I16" s="148">
        <v>-0.03</v>
      </c>
    </row>
    <row r="18" spans="1:12" x14ac:dyDescent="0.25">
      <c r="H18" s="235" t="s">
        <v>151</v>
      </c>
      <c r="I18" s="235"/>
      <c r="J18" s="235"/>
      <c r="K18" s="235"/>
    </row>
    <row r="19" spans="1:12" x14ac:dyDescent="0.25">
      <c r="H19" s="236" t="s">
        <v>150</v>
      </c>
      <c r="I19" s="236"/>
      <c r="J19" s="236"/>
      <c r="K19" s="236"/>
    </row>
    <row r="20" spans="1:12" x14ac:dyDescent="0.25">
      <c r="A20" t="s">
        <v>11</v>
      </c>
      <c r="B20" s="4" t="s">
        <v>12</v>
      </c>
      <c r="C20" s="1" t="s">
        <v>17</v>
      </c>
      <c r="D20" s="1" t="s">
        <v>196</v>
      </c>
      <c r="E20" s="1" t="s">
        <v>18</v>
      </c>
      <c r="H20" s="79" t="s">
        <v>137</v>
      </c>
      <c r="I20" s="118"/>
      <c r="J20" s="79" t="s">
        <v>138</v>
      </c>
      <c r="K20" s="79" t="s">
        <v>139</v>
      </c>
    </row>
    <row r="21" spans="1:12" x14ac:dyDescent="0.25">
      <c r="B21" s="14">
        <f>365*24*60*60</f>
        <v>31536000</v>
      </c>
      <c r="C21" s="14">
        <f>10*60</f>
        <v>600</v>
      </c>
      <c r="D21" s="14">
        <f>1/(8*1000)</f>
        <v>1.25E-4</v>
      </c>
      <c r="E21" s="14">
        <f>POWER(10,6)</f>
        <v>1000000</v>
      </c>
      <c r="H21" s="79" t="s">
        <v>122</v>
      </c>
      <c r="I21" s="79" t="s">
        <v>136</v>
      </c>
      <c r="J21" s="79" t="s">
        <v>122</v>
      </c>
      <c r="K21" s="79" t="s">
        <v>140</v>
      </c>
    </row>
    <row r="22" spans="1:12" x14ac:dyDescent="0.25">
      <c r="H22" s="119">
        <v>15</v>
      </c>
      <c r="I22" s="120">
        <v>1000</v>
      </c>
      <c r="J22" s="119">
        <f>(I22/299792)*1.5*1000+H22</f>
        <v>20.003469071889842</v>
      </c>
      <c r="K22" s="125">
        <f>0.1%*0.01</f>
        <v>1.0000000000000001E-5</v>
      </c>
      <c r="L22">
        <f>COS(6371/I22)</f>
        <v>0.99614676697572757</v>
      </c>
    </row>
    <row r="23" spans="1:12" x14ac:dyDescent="0.25">
      <c r="D23" s="1" t="s">
        <v>38</v>
      </c>
      <c r="E23" s="1" t="s">
        <v>31</v>
      </c>
      <c r="F23" s="180" t="s">
        <v>190</v>
      </c>
      <c r="H23" s="119">
        <v>15</v>
      </c>
      <c r="I23" s="120">
        <v>2000</v>
      </c>
      <c r="J23" s="119">
        <f>(I23/299792)*1.5*1000+H23</f>
        <v>25.006938143779685</v>
      </c>
      <c r="K23" s="125">
        <f>0.01*0.4%</f>
        <v>4.0000000000000003E-5</v>
      </c>
      <c r="L23" s="78">
        <f t="shared" ref="L23:L39" si="0">COS(6371/I23)</f>
        <v>-0.99903622731503772</v>
      </c>
    </row>
    <row r="24" spans="1:12" x14ac:dyDescent="0.25">
      <c r="A24" s="1" t="s">
        <v>74</v>
      </c>
      <c r="B24" s="1" t="s">
        <v>21</v>
      </c>
      <c r="C24" s="1" t="s">
        <v>23</v>
      </c>
      <c r="D24" s="1" t="s">
        <v>58</v>
      </c>
      <c r="E24" s="1" t="s">
        <v>39</v>
      </c>
      <c r="F24" s="180" t="s">
        <v>200</v>
      </c>
      <c r="H24" s="119">
        <v>15</v>
      </c>
      <c r="I24" s="120">
        <v>5000</v>
      </c>
      <c r="J24" s="119">
        <f>(I24/299792)*1.5*1000+H24</f>
        <v>40.017345359449216</v>
      </c>
      <c r="K24" s="125">
        <f>0.01*2.5%</f>
        <v>2.5000000000000001E-4</v>
      </c>
      <c r="L24" s="78">
        <f t="shared" si="0"/>
        <v>0.29226684793198021</v>
      </c>
    </row>
    <row r="25" spans="1:12" x14ac:dyDescent="0.25">
      <c r="A25" s="1" t="s">
        <v>164</v>
      </c>
      <c r="B25" s="1" t="s">
        <v>22</v>
      </c>
      <c r="C25" s="1" t="s">
        <v>24</v>
      </c>
      <c r="D25" s="1" t="s">
        <v>57</v>
      </c>
      <c r="E25" s="1" t="s">
        <v>40</v>
      </c>
      <c r="F25" s="173" t="s">
        <v>201</v>
      </c>
      <c r="H25" s="119">
        <v>15</v>
      </c>
      <c r="I25" s="120">
        <v>10000</v>
      </c>
      <c r="J25" s="119">
        <f>(I25/299792)*1.5*1000+H25</f>
        <v>65.034690718898432</v>
      </c>
      <c r="K25" s="125">
        <f>0.01*10%</f>
        <v>1E-3</v>
      </c>
      <c r="L25" s="78">
        <f t="shared" si="0"/>
        <v>0.80382424942644648</v>
      </c>
    </row>
    <row r="26" spans="1:12" x14ac:dyDescent="0.25">
      <c r="A26" s="15">
        <v>475</v>
      </c>
      <c r="B26" s="13">
        <v>0.9</v>
      </c>
      <c r="C26" s="16">
        <f>7*30</f>
        <v>210</v>
      </c>
      <c r="D26" s="32">
        <f>0.45/utxoSize/utxoExpand</f>
        <v>2.3437499999999997E-2</v>
      </c>
      <c r="E26" s="13">
        <v>6.4</v>
      </c>
      <c r="F26" s="112">
        <f>15/2000</f>
        <v>7.4999999999999997E-3</v>
      </c>
      <c r="H26" s="119">
        <v>15</v>
      </c>
      <c r="I26" s="120">
        <v>20000</v>
      </c>
      <c r="J26" s="119">
        <f t="shared" ref="J26:J39" si="1">(I26/299792)*1.5*1000+H26</f>
        <v>115.06938143779686</v>
      </c>
      <c r="K26" s="125">
        <f>0.01*50%</f>
        <v>5.0000000000000001E-3</v>
      </c>
      <c r="L26" s="78">
        <f t="shared" si="0"/>
        <v>0.94969054155194321</v>
      </c>
    </row>
    <row r="27" spans="1:12" x14ac:dyDescent="0.25">
      <c r="H27" s="119">
        <v>15</v>
      </c>
      <c r="I27" s="120">
        <v>40000</v>
      </c>
      <c r="J27" s="119">
        <f t="shared" si="1"/>
        <v>215.13876287559373</v>
      </c>
      <c r="K27" s="125">
        <f>0.01*100%</f>
        <v>0.01</v>
      </c>
      <c r="L27" s="78">
        <f t="shared" si="0"/>
        <v>0.98734252960964441</v>
      </c>
    </row>
    <row r="28" spans="1:12" x14ac:dyDescent="0.25">
      <c r="A28" s="1" t="s">
        <v>165</v>
      </c>
      <c r="B28" s="1" t="s">
        <v>49</v>
      </c>
      <c r="C28" s="1" t="s">
        <v>50</v>
      </c>
      <c r="D28" s="1" t="s">
        <v>34</v>
      </c>
      <c r="E28" s="1" t="s">
        <v>31</v>
      </c>
      <c r="F28" s="79" t="s">
        <v>202</v>
      </c>
      <c r="H28" s="121">
        <v>25</v>
      </c>
      <c r="I28" s="122">
        <v>1000</v>
      </c>
      <c r="J28" s="121">
        <f t="shared" si="1"/>
        <v>30.003469071889842</v>
      </c>
      <c r="K28" s="125">
        <f>0.1*0.1%</f>
        <v>1E-4</v>
      </c>
      <c r="L28" s="78">
        <f t="shared" si="0"/>
        <v>0.99614676697572757</v>
      </c>
    </row>
    <row r="29" spans="1:12" x14ac:dyDescent="0.25">
      <c r="A29" s="36" t="s">
        <v>59</v>
      </c>
      <c r="B29" s="1" t="s">
        <v>67</v>
      </c>
      <c r="C29" s="1" t="s">
        <v>68</v>
      </c>
      <c r="D29" s="1" t="s">
        <v>35</v>
      </c>
      <c r="E29" s="1" t="s">
        <v>32</v>
      </c>
      <c r="F29" s="79" t="s">
        <v>203</v>
      </c>
      <c r="H29" s="121">
        <v>25</v>
      </c>
      <c r="I29" s="122">
        <v>2000</v>
      </c>
      <c r="J29" s="121">
        <f t="shared" si="1"/>
        <v>35.006938143779685</v>
      </c>
      <c r="K29" s="125">
        <f>0.1*0.4%</f>
        <v>4.0000000000000002E-4</v>
      </c>
      <c r="L29" s="78">
        <f t="shared" si="0"/>
        <v>-0.99903622731503772</v>
      </c>
    </row>
    <row r="30" spans="1:12" x14ac:dyDescent="0.25">
      <c r="A30" s="37">
        <v>36</v>
      </c>
      <c r="B30" s="26">
        <v>210</v>
      </c>
      <c r="C30" s="45">
        <v>2000</v>
      </c>
      <c r="D30" s="26">
        <v>3</v>
      </c>
      <c r="E30" s="25">
        <v>0.5</v>
      </c>
      <c r="F30" s="106">
        <v>7</v>
      </c>
      <c r="H30" s="121">
        <v>25</v>
      </c>
      <c r="I30" s="122">
        <v>5000</v>
      </c>
      <c r="J30" s="121">
        <f t="shared" si="1"/>
        <v>50.017345359449216</v>
      </c>
      <c r="K30" s="125">
        <f>0.1*2.5%</f>
        <v>2.5000000000000005E-3</v>
      </c>
      <c r="L30" s="78">
        <f t="shared" si="0"/>
        <v>0.29226684793198021</v>
      </c>
    </row>
    <row r="31" spans="1:12" s="78" customFormat="1" x14ac:dyDescent="0.25">
      <c r="B31"/>
      <c r="C31"/>
      <c r="D31"/>
      <c r="E31"/>
      <c r="F31"/>
      <c r="H31" s="121">
        <v>25</v>
      </c>
      <c r="I31" s="122">
        <v>10000</v>
      </c>
      <c r="J31" s="121">
        <f t="shared" si="1"/>
        <v>75.034690718898432</v>
      </c>
      <c r="K31" s="125">
        <f>0.1*10%</f>
        <v>1.0000000000000002E-2</v>
      </c>
      <c r="L31" s="78">
        <f t="shared" si="0"/>
        <v>0.80382424942644648</v>
      </c>
    </row>
    <row r="32" spans="1:12" s="78" customFormat="1" x14ac:dyDescent="0.25">
      <c r="B32"/>
      <c r="C32" s="79" t="s">
        <v>147</v>
      </c>
      <c r="D32" s="79" t="s">
        <v>123</v>
      </c>
      <c r="E32" s="142" t="s">
        <v>154</v>
      </c>
      <c r="F32" s="142" t="s">
        <v>155</v>
      </c>
      <c r="H32" s="121">
        <v>25</v>
      </c>
      <c r="I32" s="122">
        <v>20000</v>
      </c>
      <c r="J32" s="121">
        <f t="shared" si="1"/>
        <v>125.06938143779686</v>
      </c>
      <c r="K32" s="125">
        <f>0.1*50%</f>
        <v>0.05</v>
      </c>
      <c r="L32" s="78">
        <f t="shared" si="0"/>
        <v>0.94969054155194321</v>
      </c>
    </row>
    <row r="33" spans="1:12" s="78" customFormat="1" x14ac:dyDescent="0.25">
      <c r="A33" s="1" t="s">
        <v>70</v>
      </c>
      <c r="B33" s="1" t="s">
        <v>71</v>
      </c>
      <c r="C33" s="108" t="s">
        <v>146</v>
      </c>
      <c r="D33" s="79" t="s">
        <v>148</v>
      </c>
      <c r="E33" s="142" t="s">
        <v>137</v>
      </c>
      <c r="F33" s="142" t="s">
        <v>124</v>
      </c>
      <c r="H33" s="121">
        <v>25</v>
      </c>
      <c r="I33" s="122">
        <v>40000</v>
      </c>
      <c r="J33" s="121">
        <f t="shared" si="1"/>
        <v>225.13876287559373</v>
      </c>
      <c r="K33" s="125">
        <f>0.1*100%</f>
        <v>0.1</v>
      </c>
      <c r="L33" s="78">
        <f t="shared" si="0"/>
        <v>0.98734252960964441</v>
      </c>
    </row>
    <row r="34" spans="1:12" s="78" customFormat="1" x14ac:dyDescent="0.25">
      <c r="A34" s="1" t="s">
        <v>56</v>
      </c>
      <c r="B34" s="1" t="s">
        <v>56</v>
      </c>
      <c r="C34" s="108" t="s">
        <v>125</v>
      </c>
      <c r="D34" s="79" t="s">
        <v>149</v>
      </c>
      <c r="E34" s="142" t="s">
        <v>122</v>
      </c>
      <c r="F34" s="142" t="s">
        <v>122</v>
      </c>
      <c r="H34" s="123">
        <v>45</v>
      </c>
      <c r="I34" s="124">
        <v>1000</v>
      </c>
      <c r="J34" s="123">
        <f t="shared" si="1"/>
        <v>50.003469071889846</v>
      </c>
      <c r="K34" s="125">
        <f>0.9*0.1%</f>
        <v>9.0000000000000008E-4</v>
      </c>
      <c r="L34" s="78">
        <f t="shared" si="0"/>
        <v>0.99614676697572757</v>
      </c>
    </row>
    <row r="35" spans="1:12" s="78" customFormat="1" x14ac:dyDescent="0.25">
      <c r="A35" s="13">
        <v>0.1</v>
      </c>
      <c r="B35" s="13">
        <v>0.9</v>
      </c>
      <c r="C35" s="111">
        <f>9/1000</f>
        <v>8.9999999999999993E-3</v>
      </c>
      <c r="D35" s="84">
        <v>0.01</v>
      </c>
      <c r="E35" s="150">
        <v>15</v>
      </c>
      <c r="F35" s="149">
        <f>(10000/299792)*1000</f>
        <v>33.356460479265621</v>
      </c>
      <c r="H35" s="123">
        <v>45</v>
      </c>
      <c r="I35" s="124">
        <v>2000</v>
      </c>
      <c r="J35" s="123">
        <f t="shared" si="1"/>
        <v>55.006938143779685</v>
      </c>
      <c r="K35" s="125">
        <f>0.9*0.4%</f>
        <v>3.6000000000000003E-3</v>
      </c>
      <c r="L35" s="78">
        <f t="shared" si="0"/>
        <v>-0.99903622731503772</v>
      </c>
    </row>
    <row r="36" spans="1:12" s="78" customFormat="1" x14ac:dyDescent="0.25">
      <c r="B36"/>
      <c r="C36"/>
      <c r="D36"/>
      <c r="H36" s="123">
        <v>45</v>
      </c>
      <c r="I36" s="124">
        <v>5000</v>
      </c>
      <c r="J36" s="123">
        <f t="shared" si="1"/>
        <v>70.017345359449223</v>
      </c>
      <c r="K36" s="125">
        <f>0.9*2.5%</f>
        <v>2.2500000000000003E-2</v>
      </c>
      <c r="L36" s="78">
        <f t="shared" si="0"/>
        <v>0.29226684793198021</v>
      </c>
    </row>
    <row r="37" spans="1:12" s="78" customFormat="1" x14ac:dyDescent="0.25">
      <c r="A37" s="9" t="s">
        <v>116</v>
      </c>
      <c r="D37"/>
      <c r="E37"/>
      <c r="F37" s="79"/>
      <c r="H37" s="123">
        <v>45</v>
      </c>
      <c r="I37" s="124">
        <v>10000</v>
      </c>
      <c r="J37" s="123">
        <f t="shared" si="1"/>
        <v>95.034690718898432</v>
      </c>
      <c r="K37" s="125">
        <f>0.9*10%</f>
        <v>9.0000000000000011E-2</v>
      </c>
      <c r="L37" s="78">
        <f t="shared" si="0"/>
        <v>0.80382424942644648</v>
      </c>
    </row>
    <row r="38" spans="1:12" s="78" customFormat="1" x14ac:dyDescent="0.25">
      <c r="D38"/>
      <c r="E38"/>
      <c r="F38" s="79"/>
      <c r="H38" s="123">
        <v>45</v>
      </c>
      <c r="I38" s="124">
        <v>20000</v>
      </c>
      <c r="J38" s="123">
        <f t="shared" si="1"/>
        <v>145.06938143779686</v>
      </c>
      <c r="K38" s="125">
        <f>0.9*50%</f>
        <v>0.45</v>
      </c>
      <c r="L38" s="78">
        <f t="shared" si="0"/>
        <v>0.94969054155194321</v>
      </c>
    </row>
    <row r="39" spans="1:12" s="78" customFormat="1" x14ac:dyDescent="0.25">
      <c r="A39" s="79" t="s">
        <v>7</v>
      </c>
      <c r="B39" s="79" t="s">
        <v>67</v>
      </c>
      <c r="C39" s="79" t="s">
        <v>33</v>
      </c>
      <c r="D39"/>
      <c r="E39"/>
      <c r="F39" s="161"/>
      <c r="H39" s="123">
        <v>45</v>
      </c>
      <c r="I39" s="124">
        <v>40000</v>
      </c>
      <c r="J39" s="123">
        <f t="shared" si="1"/>
        <v>245.13876287559373</v>
      </c>
      <c r="K39" s="125">
        <f>0.9*100%</f>
        <v>0.9</v>
      </c>
      <c r="L39" s="78">
        <f t="shared" si="0"/>
        <v>0.98734252960964441</v>
      </c>
    </row>
    <row r="40" spans="1:12" s="78" customFormat="1" x14ac:dyDescent="0.25">
      <c r="A40" s="78">
        <v>0</v>
      </c>
      <c r="B40" s="75">
        <f t="shared" ref="B40:B55" si="2">curChainSize+A40*curMaxBlocksize*(secondsPerYear/secondsPerBlock)/KBperGB</f>
        <v>210</v>
      </c>
      <c r="C40" s="73">
        <f xml:space="preserve"> utxoSize</f>
        <v>3</v>
      </c>
      <c r="D40"/>
      <c r="E40"/>
    </row>
    <row r="41" spans="1:12" s="78" customFormat="1" x14ac:dyDescent="0.25">
      <c r="A41" s="78">
        <v>1</v>
      </c>
      <c r="B41" s="75">
        <f t="shared" si="2"/>
        <v>315.12</v>
      </c>
      <c r="C41" s="75">
        <f xml:space="preserve"> C40 + MIN(C40*utxoGrowth, curMaxBlocksize*secondsPerYear/secondsPerBlock/KBperGB)</f>
        <v>4.5</v>
      </c>
    </row>
    <row r="42" spans="1:12" s="78" customFormat="1" x14ac:dyDescent="0.25">
      <c r="A42" s="78">
        <v>2</v>
      </c>
      <c r="B42" s="75">
        <f t="shared" si="2"/>
        <v>420.24</v>
      </c>
      <c r="C42" s="75">
        <f xml:space="preserve"> C41 + MIN(C41*utxoGrowth, curMaxBlocksize*secondsPerYear/secondsPerBlock/KBperGB)</f>
        <v>6.75</v>
      </c>
    </row>
    <row r="43" spans="1:12" s="78" customFormat="1" x14ac:dyDescent="0.25">
      <c r="A43" s="78">
        <v>3</v>
      </c>
      <c r="B43" s="75">
        <f t="shared" si="2"/>
        <v>525.36</v>
      </c>
      <c r="C43" s="75">
        <f t="shared" ref="C43:C55" si="3" xml:space="preserve"> C42 + MIN(C42*utxoGrowth, curMaxBlocksize*secondsPerYear/secondsPerBlock/KBperGB)</f>
        <v>10.125</v>
      </c>
    </row>
    <row r="44" spans="1:12" s="78" customFormat="1" x14ac:dyDescent="0.25">
      <c r="A44" s="78">
        <v>4</v>
      </c>
      <c r="B44" s="75">
        <f t="shared" si="2"/>
        <v>630.48</v>
      </c>
      <c r="C44" s="75">
        <f t="shared" si="3"/>
        <v>15.1875</v>
      </c>
    </row>
    <row r="45" spans="1:12" s="78" customFormat="1" x14ac:dyDescent="0.25">
      <c r="A45" s="78">
        <v>5</v>
      </c>
      <c r="B45" s="75">
        <f t="shared" si="2"/>
        <v>735.6</v>
      </c>
      <c r="C45" s="75">
        <f t="shared" si="3"/>
        <v>22.78125</v>
      </c>
    </row>
    <row r="46" spans="1:12" s="78" customFormat="1" x14ac:dyDescent="0.25">
      <c r="A46" s="78">
        <v>6</v>
      </c>
      <c r="B46" s="75">
        <f t="shared" si="2"/>
        <v>840.72</v>
      </c>
      <c r="C46" s="75">
        <f t="shared" si="3"/>
        <v>34.171875</v>
      </c>
    </row>
    <row r="47" spans="1:12" s="78" customFormat="1" x14ac:dyDescent="0.25">
      <c r="A47" s="78">
        <v>7</v>
      </c>
      <c r="B47" s="75">
        <f t="shared" si="2"/>
        <v>945.84</v>
      </c>
      <c r="C47" s="75">
        <f t="shared" si="3"/>
        <v>51.2578125</v>
      </c>
    </row>
    <row r="48" spans="1:12" s="78" customFormat="1" x14ac:dyDescent="0.25">
      <c r="A48" s="78">
        <v>8</v>
      </c>
      <c r="B48" s="75">
        <f t="shared" si="2"/>
        <v>1050.96</v>
      </c>
      <c r="C48" s="75">
        <f t="shared" si="3"/>
        <v>76.88671875</v>
      </c>
    </row>
    <row r="49" spans="1:10" s="78" customFormat="1" x14ac:dyDescent="0.25">
      <c r="A49" s="78">
        <v>9</v>
      </c>
      <c r="B49" s="75">
        <f t="shared" si="2"/>
        <v>1156.08</v>
      </c>
      <c r="C49" s="75">
        <f t="shared" si="3"/>
        <v>115.330078125</v>
      </c>
    </row>
    <row r="50" spans="1:10" s="78" customFormat="1" x14ac:dyDescent="0.25">
      <c r="A50" s="78">
        <v>10</v>
      </c>
      <c r="B50" s="75">
        <f t="shared" si="2"/>
        <v>1261.2</v>
      </c>
      <c r="C50" s="75">
        <f t="shared" si="3"/>
        <v>172.9951171875</v>
      </c>
    </row>
    <row r="51" spans="1:10" s="78" customFormat="1" x14ac:dyDescent="0.25">
      <c r="A51" s="78">
        <v>11</v>
      </c>
      <c r="B51" s="75">
        <f t="shared" si="2"/>
        <v>1366.32</v>
      </c>
      <c r="C51" s="75">
        <f t="shared" si="3"/>
        <v>259.49267578125</v>
      </c>
    </row>
    <row r="52" spans="1:10" s="78" customFormat="1" x14ac:dyDescent="0.25">
      <c r="A52" s="78">
        <v>12</v>
      </c>
      <c r="B52" s="75">
        <f t="shared" si="2"/>
        <v>1471.44</v>
      </c>
      <c r="C52" s="75">
        <f t="shared" si="3"/>
        <v>364.61267578125</v>
      </c>
    </row>
    <row r="53" spans="1:10" s="78" customFormat="1" x14ac:dyDescent="0.25">
      <c r="A53" s="78">
        <v>13</v>
      </c>
      <c r="B53" s="75">
        <f t="shared" si="2"/>
        <v>1576.56</v>
      </c>
      <c r="C53" s="75">
        <f t="shared" si="3"/>
        <v>469.73267578125001</v>
      </c>
    </row>
    <row r="54" spans="1:10" s="78" customFormat="1" x14ac:dyDescent="0.25">
      <c r="A54" s="78">
        <v>14</v>
      </c>
      <c r="B54" s="75">
        <f t="shared" si="2"/>
        <v>1681.68</v>
      </c>
      <c r="C54" s="75">
        <f t="shared" si="3"/>
        <v>574.85267578125001</v>
      </c>
    </row>
    <row r="55" spans="1:10" s="78" customFormat="1" x14ac:dyDescent="0.25">
      <c r="A55" s="78">
        <v>15</v>
      </c>
      <c r="B55" s="75">
        <f t="shared" si="2"/>
        <v>1786.8</v>
      </c>
      <c r="C55" s="75">
        <f t="shared" si="3"/>
        <v>679.97267578125002</v>
      </c>
    </row>
    <row r="56" spans="1:10" s="78" customFormat="1" x14ac:dyDescent="0.25"/>
    <row r="57" spans="1:10" s="78" customFormat="1" x14ac:dyDescent="0.25"/>
    <row r="58" spans="1:10" x14ac:dyDescent="0.25">
      <c r="A58" s="9" t="s">
        <v>5</v>
      </c>
    </row>
    <row r="59" spans="1:10" x14ac:dyDescent="0.25">
      <c r="A59" s="2" t="s">
        <v>6</v>
      </c>
      <c r="B59" s="238" t="s">
        <v>75</v>
      </c>
      <c r="C59" s="86"/>
      <c r="I59" s="30"/>
      <c r="J59" s="30"/>
    </row>
    <row r="61" spans="1:10" x14ac:dyDescent="0.25">
      <c r="B61" s="1" t="s">
        <v>29</v>
      </c>
    </row>
    <row r="62" spans="1:10" x14ac:dyDescent="0.25">
      <c r="A62" s="4" t="s">
        <v>7</v>
      </c>
      <c r="B62" s="1" t="s">
        <v>67</v>
      </c>
      <c r="C62" s="1" t="s">
        <v>13</v>
      </c>
      <c r="D62" s="1" t="s">
        <v>16</v>
      </c>
      <c r="E62" s="1" t="s">
        <v>19</v>
      </c>
      <c r="F62" s="1"/>
    </row>
    <row r="63" spans="1:10" x14ac:dyDescent="0.25">
      <c r="A63">
        <v>0</v>
      </c>
      <c r="B63" s="7">
        <f>avgSyncBandwidth90p*syncResourceRatio90p*mbToGB*secondsPerYear*POWER(1+bandwidthGrowth,A63)*syncTime90p/365</f>
        <v>7.397260273972603</v>
      </c>
      <c r="C63" s="237">
        <f>avgSyncBandwidth90p*syncResourceRatio90p*LN(1+bandwidthGrowth)*mbToGB*secondsPerYear*POWER(1+bandwidthGrowth,A63)*syncTime90p/365</f>
        <v>1.6506509275297709</v>
      </c>
      <c r="D63" s="8">
        <f t="shared" ref="D63" si="4">C63*(secondsPerBlock/secondsPerYear)*KBperGB</f>
        <v>31.405078529866266</v>
      </c>
      <c r="E63" s="184">
        <f t="shared" ref="E63" si="5">D63*1000/(secondsPerBlock*avgTrSize)</f>
        <v>0.11019325799953077</v>
      </c>
      <c r="F63" s="24"/>
    </row>
    <row r="64" spans="1:10" x14ac:dyDescent="0.25">
      <c r="A64">
        <v>1</v>
      </c>
      <c r="B64" s="7">
        <f>avgSyncBandwidth90p*syncResourceRatio90p*mbToGB*secondsPerYear*POWER(1+bandwidthGrowth,A64)*syncTime90p/365</f>
        <v>9.2465753424657535</v>
      </c>
      <c r="C64" s="237">
        <f>avgSyncBandwidth90p*syncResourceRatio90p*LN(1+bandwidthGrowth)*mbToGB*secondsPerYear*POWER(1+bandwidthGrowth,A64)*syncTime90p/365</f>
        <v>2.0633136594122137</v>
      </c>
      <c r="D64" s="8">
        <f t="shared" ref="D64:D78" si="6">C64*(secondsPerBlock/secondsPerYear)*KBperGB</f>
        <v>39.256348162332841</v>
      </c>
      <c r="E64" s="184">
        <f t="shared" ref="E64:E78" si="7">D64*1000/(secondsPerBlock*avgTrSize)</f>
        <v>0.13774157249941349</v>
      </c>
      <c r="F64" s="7"/>
    </row>
    <row r="65" spans="1:6" x14ac:dyDescent="0.25">
      <c r="A65">
        <v>2</v>
      </c>
      <c r="B65" s="7">
        <f>avgSyncBandwidth90p*syncResourceRatio90p*mbToGB*secondsPerYear*POWER(1+bandwidthGrowth,A65)*syncTime90p/365</f>
        <v>11.558219178082192</v>
      </c>
      <c r="C65" s="237">
        <f>avgSyncBandwidth90p*syncResourceRatio90p*LN(1+bandwidthGrowth)*mbToGB*secondsPerYear*POWER(1+bandwidthGrowth,A65)*syncTime90p/365</f>
        <v>2.5791420742652669</v>
      </c>
      <c r="D65" s="8">
        <f t="shared" si="6"/>
        <v>49.070435202916038</v>
      </c>
      <c r="E65" s="184">
        <f t="shared" si="7"/>
        <v>0.17217696562426679</v>
      </c>
      <c r="F65" s="7"/>
    </row>
    <row r="66" spans="1:6" x14ac:dyDescent="0.25">
      <c r="A66">
        <v>3</v>
      </c>
      <c r="B66" s="7">
        <f>avgSyncBandwidth90p*syncResourceRatio90p*mbToGB*secondsPerYear*POWER(1+bandwidthGrowth,A66)*syncTime90p/365</f>
        <v>14.447773972602739</v>
      </c>
      <c r="C66" s="237">
        <f>avgSyncBandwidth90p*syncResourceRatio90p*LN(1+bandwidthGrowth)*mbToGB*secondsPerYear*POWER(1+bandwidthGrowth,A66)*syncTime90p/365</f>
        <v>3.223927592831584</v>
      </c>
      <c r="D66" s="8">
        <f t="shared" si="6"/>
        <v>61.338044003645059</v>
      </c>
      <c r="E66" s="184">
        <f t="shared" si="7"/>
        <v>0.21522120703033354</v>
      </c>
      <c r="F66" s="7"/>
    </row>
    <row r="67" spans="1:6" x14ac:dyDescent="0.25">
      <c r="A67">
        <v>4</v>
      </c>
      <c r="B67" s="7">
        <f>avgSyncBandwidth90p*syncResourceRatio90p*mbToGB*secondsPerYear*POWER(1+bandwidthGrowth,A67)*syncTime90p/365</f>
        <v>18.059717465753426</v>
      </c>
      <c r="C67" s="237">
        <f>avgSyncBandwidth90p*syncResourceRatio90p*LN(1+bandwidthGrowth)*mbToGB*secondsPerYear*POWER(1+bandwidthGrowth,A67)*syncTime90p/365</f>
        <v>4.0299094910394802</v>
      </c>
      <c r="D67" s="8">
        <f t="shared" si="6"/>
        <v>76.67255500455633</v>
      </c>
      <c r="E67" s="184">
        <f t="shared" si="7"/>
        <v>0.26902650878791695</v>
      </c>
      <c r="F67" s="7"/>
    </row>
    <row r="68" spans="1:6" x14ac:dyDescent="0.25">
      <c r="A68">
        <v>5</v>
      </c>
      <c r="B68" s="7">
        <f>avgSyncBandwidth90p*syncResourceRatio90p*mbToGB*secondsPerYear*POWER(1+bandwidthGrowth,A68)*syncTime90p/365</f>
        <v>22.574646832191782</v>
      </c>
      <c r="C68" s="237">
        <f>avgSyncBandwidth90p*syncResourceRatio90p*LN(1+bandwidthGrowth)*mbToGB*secondsPerYear*POWER(1+bandwidthGrowth,A68)*syncTime90p/365</f>
        <v>5.03738686379935</v>
      </c>
      <c r="D68" s="8">
        <f t="shared" si="6"/>
        <v>95.840693755695412</v>
      </c>
      <c r="E68" s="184">
        <f t="shared" si="7"/>
        <v>0.33628313598489618</v>
      </c>
      <c r="F68" s="7"/>
    </row>
    <row r="69" spans="1:6" x14ac:dyDescent="0.25">
      <c r="A69">
        <v>6</v>
      </c>
      <c r="B69" s="7">
        <f>avgSyncBandwidth90p*syncResourceRatio90p*mbToGB*secondsPerYear*POWER(1+bandwidthGrowth,A69)*syncTime90p/365</f>
        <v>28.218308540239725</v>
      </c>
      <c r="C69" s="237">
        <f>avgSyncBandwidth90p*syncResourceRatio90p*LN(1+bandwidthGrowth)*mbToGB*secondsPerYear*POWER(1+bandwidthGrowth,A69)*syncTime90p/365</f>
        <v>6.2967335797491879</v>
      </c>
      <c r="D69" s="8">
        <f t="shared" si="6"/>
        <v>119.80086719461927</v>
      </c>
      <c r="E69" s="184">
        <f t="shared" si="7"/>
        <v>0.42035391998112026</v>
      </c>
      <c r="F69" s="7"/>
    </row>
    <row r="70" spans="1:6" x14ac:dyDescent="0.25">
      <c r="A70">
        <v>7</v>
      </c>
      <c r="B70" s="7">
        <f>avgSyncBandwidth90p*syncResourceRatio90p*mbToGB*secondsPerYear*POWER(1+bandwidthGrowth,A70)*syncTime90p/365</f>
        <v>35.272885675299655</v>
      </c>
      <c r="C70" s="237">
        <f>avgSyncBandwidth90p*syncResourceRatio90p*LN(1+bandwidthGrowth)*mbToGB*secondsPerYear*POWER(1+bandwidthGrowth,A70)*syncTime90p/365</f>
        <v>7.8709169746864847</v>
      </c>
      <c r="D70" s="8">
        <f t="shared" si="6"/>
        <v>149.75108399327408</v>
      </c>
      <c r="E70" s="184">
        <f t="shared" si="7"/>
        <v>0.5254423999764003</v>
      </c>
      <c r="F70" s="7"/>
    </row>
    <row r="71" spans="1:6" x14ac:dyDescent="0.25">
      <c r="A71">
        <v>8</v>
      </c>
      <c r="B71" s="7">
        <f>avgSyncBandwidth90p*syncResourceRatio90p*mbToGB*secondsPerYear*POWER(1+bandwidthGrowth,A71)*syncTime90p/365</f>
        <v>44.091107094124574</v>
      </c>
      <c r="C71" s="237">
        <f>avgSyncBandwidth90p*syncResourceRatio90p*LN(1+bandwidthGrowth)*mbToGB*secondsPerYear*POWER(1+bandwidthGrowth,A71)*syncTime90p/365</f>
        <v>9.8386462183581056</v>
      </c>
      <c r="D71" s="8">
        <f t="shared" si="6"/>
        <v>187.18885499159256</v>
      </c>
      <c r="E71" s="184">
        <f t="shared" si="7"/>
        <v>0.65680299997050018</v>
      </c>
      <c r="F71" s="7"/>
    </row>
    <row r="72" spans="1:6" x14ac:dyDescent="0.25">
      <c r="A72">
        <v>9</v>
      </c>
      <c r="B72" s="7">
        <f>avgSyncBandwidth90p*syncResourceRatio90p*mbToGB*secondsPerYear*POWER(1+bandwidthGrowth,A72)*syncTime90p/365</f>
        <v>55.113883867655716</v>
      </c>
      <c r="C72" s="237">
        <f>avgSyncBandwidth90p*syncResourceRatio90p*LN(1+bandwidthGrowth)*mbToGB*secondsPerYear*POWER(1+bandwidthGrowth,A72)*syncTime90p/365</f>
        <v>12.298307772947632</v>
      </c>
      <c r="D72" s="8">
        <f t="shared" si="6"/>
        <v>233.98606873949075</v>
      </c>
      <c r="E72" s="184">
        <f t="shared" si="7"/>
        <v>0.82100374996312542</v>
      </c>
      <c r="F72" s="7"/>
    </row>
    <row r="73" spans="1:6" x14ac:dyDescent="0.25">
      <c r="A73">
        <v>10</v>
      </c>
      <c r="B73" s="7">
        <f>avgSyncBandwidth90p*syncResourceRatio90p*mbToGB*secondsPerYear*POWER(1+bandwidthGrowth,A73)*syncTime90p/365</f>
        <v>68.892354834569645</v>
      </c>
      <c r="C73" s="237">
        <f>avgSyncBandwidth90p*syncResourceRatio90p*LN(1+bandwidthGrowth)*mbToGB*secondsPerYear*POWER(1+bandwidthGrowth,A73)*syncTime90p/365</f>
        <v>15.37288471618454</v>
      </c>
      <c r="D73" s="8">
        <f t="shared" si="6"/>
        <v>292.48258592436343</v>
      </c>
      <c r="E73" s="184">
        <f t="shared" si="7"/>
        <v>1.0262546874539069</v>
      </c>
      <c r="F73" s="7"/>
    </row>
    <row r="74" spans="1:6" x14ac:dyDescent="0.25">
      <c r="A74">
        <v>11</v>
      </c>
      <c r="B74" s="7">
        <f>avgSyncBandwidth90p*syncResourceRatio90p*mbToGB*secondsPerYear*POWER(1+bandwidthGrowth,A74)*syncTime90p/365</f>
        <v>86.115443543212052</v>
      </c>
      <c r="C74" s="237">
        <f>avgSyncBandwidth90p*syncResourceRatio90p*LN(1+bandwidthGrowth)*mbToGB*secondsPerYear*POWER(1+bandwidthGrowth,A74)*syncTime90p/365</f>
        <v>19.216105895230676</v>
      </c>
      <c r="D74" s="8">
        <f t="shared" si="6"/>
        <v>365.60323240545432</v>
      </c>
      <c r="E74" s="184">
        <f t="shared" si="7"/>
        <v>1.2828183593173836</v>
      </c>
      <c r="F74" s="7"/>
    </row>
    <row r="75" spans="1:6" x14ac:dyDescent="0.25">
      <c r="A75">
        <v>12</v>
      </c>
      <c r="B75" s="7">
        <f>avgSyncBandwidth90p*syncResourceRatio90p*mbToGB*secondsPerYear*POWER(1+bandwidthGrowth,A75)*syncTime90p/365</f>
        <v>107.64430442901507</v>
      </c>
      <c r="C75" s="237">
        <f>avgSyncBandwidth90p*syncResourceRatio90p*LN(1+bandwidthGrowth)*mbToGB*secondsPerYear*POWER(1+bandwidthGrowth,A75)*syncTime90p/365</f>
        <v>24.020132369038343</v>
      </c>
      <c r="D75" s="8">
        <f t="shared" si="6"/>
        <v>457.00404050681783</v>
      </c>
      <c r="E75" s="184">
        <f t="shared" si="7"/>
        <v>1.6035229491467291</v>
      </c>
      <c r="F75" s="7"/>
    </row>
    <row r="76" spans="1:6" x14ac:dyDescent="0.25">
      <c r="A76">
        <v>13</v>
      </c>
      <c r="B76" s="7">
        <f>avgSyncBandwidth90p*syncResourceRatio90p*mbToGB*secondsPerYear*POWER(1+bandwidthGrowth,A76)*syncTime90p/365</f>
        <v>134.55538053626884</v>
      </c>
      <c r="C76" s="237">
        <f>avgSyncBandwidth90p*syncResourceRatio90p*LN(1+bandwidthGrowth)*mbToGB*secondsPerYear*POWER(1+bandwidthGrowth,A76)*syncTime90p/365</f>
        <v>30.025165461297927</v>
      </c>
      <c r="D76" s="8">
        <f t="shared" si="6"/>
        <v>571.25505063352227</v>
      </c>
      <c r="E76" s="184">
        <f t="shared" si="7"/>
        <v>2.0044036864334114</v>
      </c>
      <c r="F76" s="7"/>
    </row>
    <row r="77" spans="1:6" x14ac:dyDescent="0.25">
      <c r="A77">
        <v>14</v>
      </c>
      <c r="B77" s="7">
        <f>avgSyncBandwidth90p*syncResourceRatio90p*mbToGB*secondsPerYear*POWER(1+bandwidthGrowth,A77)*syncTime90p/365</f>
        <v>168.19422567033607</v>
      </c>
      <c r="C77" s="237">
        <f>avgSyncBandwidth90p*syncResourceRatio90p*LN(1+bandwidthGrowth)*mbToGB*secondsPerYear*POWER(1+bandwidthGrowth,A77)*syncTime90p/365</f>
        <v>37.53145682662241</v>
      </c>
      <c r="D77" s="8">
        <f t="shared" si="6"/>
        <v>714.06881329190287</v>
      </c>
      <c r="E77" s="184">
        <f t="shared" si="7"/>
        <v>2.5055046080417647</v>
      </c>
      <c r="F77" s="7"/>
    </row>
    <row r="78" spans="1:6" x14ac:dyDescent="0.25">
      <c r="A78">
        <v>15</v>
      </c>
      <c r="B78" s="7">
        <f>avgSyncBandwidth90p*syncResourceRatio90p*mbToGB*secondsPerYear*POWER(1+bandwidthGrowth,A78)*syncTime90p/365</f>
        <v>210.24278208792006</v>
      </c>
      <c r="C78" s="237">
        <f>avgSyncBandwidth90p*syncResourceRatio90p*LN(1+bandwidthGrowth)*mbToGB*secondsPerYear*POWER(1+bandwidthGrowth,A78)*syncTime90p/365</f>
        <v>46.914321033278021</v>
      </c>
      <c r="D78" s="8">
        <f t="shared" si="6"/>
        <v>892.58601661487876</v>
      </c>
      <c r="E78" s="184">
        <f t="shared" si="7"/>
        <v>3.1318807600522063</v>
      </c>
      <c r="F78" s="7"/>
    </row>
    <row r="79" spans="1:6" x14ac:dyDescent="0.25">
      <c r="F79" s="24"/>
    </row>
    <row r="80" spans="1:6" x14ac:dyDescent="0.25">
      <c r="A80" s="9" t="s">
        <v>20</v>
      </c>
    </row>
    <row r="81" spans="1:13" x14ac:dyDescent="0.25">
      <c r="A81" s="80" t="s">
        <v>6</v>
      </c>
      <c r="B81" s="238" t="s">
        <v>75</v>
      </c>
      <c r="C81" s="86"/>
      <c r="D81" s="78"/>
      <c r="E81" s="78"/>
      <c r="F81" s="78"/>
      <c r="G81" s="78"/>
      <c r="H81" s="78"/>
      <c r="I81" s="86"/>
      <c r="J81" s="86"/>
      <c r="K81" s="78"/>
      <c r="L81" s="78"/>
      <c r="M81" s="78"/>
    </row>
    <row r="83" spans="1:13" x14ac:dyDescent="0.25">
      <c r="B83" s="1" t="s">
        <v>29</v>
      </c>
    </row>
    <row r="84" spans="1:13" x14ac:dyDescent="0.25">
      <c r="A84" s="4" t="s">
        <v>7</v>
      </c>
      <c r="B84" s="1" t="s">
        <v>26</v>
      </c>
      <c r="C84" s="1" t="s">
        <v>13</v>
      </c>
      <c r="D84" s="1" t="s">
        <v>16</v>
      </c>
      <c r="E84" s="1" t="s">
        <v>19</v>
      </c>
      <c r="F84" s="5"/>
    </row>
    <row r="85" spans="1:13" x14ac:dyDescent="0.25">
      <c r="A85">
        <v>0</v>
      </c>
      <c r="B85" s="10">
        <f>validationRate90p*syncResourceRatio90p*secondsPerYear*POWER(1+cpuGrowth,A85)*syncTime90p/365/1000/1000</f>
        <v>90.72</v>
      </c>
      <c r="C85" s="76">
        <f>validationRate90p*syncResourceRatio90p*secondsPerYear*LN(1+cpuGrowth)*POWER(1+cpuGrowth,A85)*syncTime90p/365/1000/1000</f>
        <v>14.243380092012782</v>
      </c>
      <c r="D85" s="11">
        <f t="shared" ref="D85:D100" si="8">E85*secondsPerBlock*avgTrSize/1000</f>
        <v>128.72156666107443</v>
      </c>
      <c r="E85" s="6">
        <f t="shared" ref="E85:E100" si="9">C85*1000*1000/secondsPerYear</f>
        <v>0.45165461986341898</v>
      </c>
      <c r="F85" s="3"/>
    </row>
    <row r="86" spans="1:13" x14ac:dyDescent="0.25">
      <c r="A86">
        <v>1</v>
      </c>
      <c r="B86" s="10">
        <f>validationRate90p*syncResourceRatio90p*secondsPerYear*POWER(1+cpuGrowth,A86)*syncTime90p/365/1000/1000</f>
        <v>106.14239999999999</v>
      </c>
      <c r="C86" s="76">
        <f>validationRate90p*syncResourceRatio90p*secondsPerYear*LN(1+cpuGrowth)*POWER(1+cpuGrowth,A86)*syncTime90p/365/1000/1000</f>
        <v>16.664754707654954</v>
      </c>
      <c r="D86" s="11">
        <f t="shared" si="8"/>
        <v>150.60423299345706</v>
      </c>
      <c r="E86" s="6">
        <f t="shared" si="9"/>
        <v>0.52843590524020023</v>
      </c>
      <c r="F86" s="3"/>
    </row>
    <row r="87" spans="1:13" x14ac:dyDescent="0.25">
      <c r="A87">
        <v>2</v>
      </c>
      <c r="B87" s="10">
        <f>validationRate90p*syncResourceRatio90p*secondsPerYear*POWER(1+cpuGrowth,A87)*syncTime90p/365/1000/1000</f>
        <v>124.18660799999998</v>
      </c>
      <c r="C87" s="76">
        <f>validationRate90p*syncResourceRatio90p*secondsPerYear*LN(1+cpuGrowth)*POWER(1+cpuGrowth,A87)*syncTime90p/365/1000/1000</f>
        <v>19.497763007956291</v>
      </c>
      <c r="D87" s="11">
        <f t="shared" si="8"/>
        <v>176.20695260234473</v>
      </c>
      <c r="E87" s="6">
        <f t="shared" si="9"/>
        <v>0.61827000913103414</v>
      </c>
      <c r="F87" s="3"/>
    </row>
    <row r="88" spans="1:13" x14ac:dyDescent="0.25">
      <c r="A88">
        <v>3</v>
      </c>
      <c r="B88" s="10">
        <f>validationRate90p*syncResourceRatio90p*secondsPerYear*POWER(1+cpuGrowth,A88)*syncTime90p/365/1000/1000</f>
        <v>145.29833135999999</v>
      </c>
      <c r="C88" s="76">
        <f>validationRate90p*syncResourceRatio90p*secondsPerYear*LN(1+cpuGrowth)*POWER(1+cpuGrowth,A88)*syncTime90p/365/1000/1000</f>
        <v>22.812382719308864</v>
      </c>
      <c r="D88" s="11">
        <f t="shared" si="8"/>
        <v>206.16213454474334</v>
      </c>
      <c r="E88" s="6">
        <f t="shared" si="9"/>
        <v>0.72337591068330998</v>
      </c>
      <c r="F88" s="3"/>
    </row>
    <row r="89" spans="1:13" x14ac:dyDescent="0.25">
      <c r="A89">
        <v>4</v>
      </c>
      <c r="B89" s="10">
        <f>validationRate90p*syncResourceRatio90p*secondsPerYear*POWER(1+cpuGrowth,A89)*syncTime90p/365/1000/1000</f>
        <v>169.99904769119996</v>
      </c>
      <c r="C89" s="76">
        <f>validationRate90p*syncResourceRatio90p*secondsPerYear*LN(1+cpuGrowth)*POWER(1+cpuGrowth,A89)*syncTime90p/365/1000/1000</f>
        <v>26.690487781591369</v>
      </c>
      <c r="D89" s="11">
        <f t="shared" si="8"/>
        <v>241.20969741734967</v>
      </c>
      <c r="E89" s="6">
        <f t="shared" si="9"/>
        <v>0.84634981549947252</v>
      </c>
      <c r="F89" s="3"/>
    </row>
    <row r="90" spans="1:13" x14ac:dyDescent="0.25">
      <c r="A90">
        <v>5</v>
      </c>
      <c r="B90" s="10">
        <f>validationRate90p*syncResourceRatio90p*secondsPerYear*POWER(1+cpuGrowth,A90)*syncTime90p/365/1000/1000</f>
        <v>198.8988857987039</v>
      </c>
      <c r="C90" s="76">
        <f>validationRate90p*syncResourceRatio90p*secondsPerYear*LN(1+cpuGrowth)*POWER(1+cpuGrowth,A90)*syncTime90p/365/1000/1000</f>
        <v>31.2278707044619</v>
      </c>
      <c r="D90" s="11">
        <f t="shared" si="8"/>
        <v>282.21534597829907</v>
      </c>
      <c r="E90" s="6">
        <f t="shared" si="9"/>
        <v>0.99022928413438294</v>
      </c>
      <c r="F90" s="3"/>
    </row>
    <row r="91" spans="1:13" x14ac:dyDescent="0.25">
      <c r="A91">
        <v>6</v>
      </c>
      <c r="B91" s="10">
        <f>validationRate90p*syncResourceRatio90p*secondsPerYear*POWER(1+cpuGrowth,A91)*syncTime90p/365/1000/1000</f>
        <v>232.71169638448359</v>
      </c>
      <c r="C91" s="76">
        <f>validationRate90p*syncResourceRatio90p*secondsPerYear*LN(1+cpuGrowth)*POWER(1+cpuGrowth,A91)*syncTime90p/365/1000/1000</f>
        <v>36.536608724220415</v>
      </c>
      <c r="D91" s="11">
        <f t="shared" si="8"/>
        <v>330.1919547946099</v>
      </c>
      <c r="E91" s="6">
        <f t="shared" si="9"/>
        <v>1.1585682624372278</v>
      </c>
      <c r="F91" s="3"/>
    </row>
    <row r="92" spans="1:13" x14ac:dyDescent="0.25">
      <c r="A92">
        <v>7</v>
      </c>
      <c r="B92" s="10">
        <f>validationRate90p*syncResourceRatio90p*secondsPerYear*POWER(1+cpuGrowth,A92)*syncTime90p/365/1000/1000</f>
        <v>272.27268476984574</v>
      </c>
      <c r="C92" s="76">
        <f>validationRate90p*syncResourceRatio90p*secondsPerYear*LN(1+cpuGrowth)*POWER(1+cpuGrowth,A92)*syncTime90p/365/1000/1000</f>
        <v>42.747832207337886</v>
      </c>
      <c r="D92" s="11">
        <f t="shared" si="8"/>
        <v>386.3245871096936</v>
      </c>
      <c r="E92" s="6">
        <f t="shared" si="9"/>
        <v>1.3555248670515565</v>
      </c>
      <c r="F92" s="3"/>
    </row>
    <row r="93" spans="1:13" x14ac:dyDescent="0.25">
      <c r="A93">
        <v>8</v>
      </c>
      <c r="B93" s="10">
        <f>validationRate90p*syncResourceRatio90p*secondsPerYear*POWER(1+cpuGrowth,A93)*syncTime90p/365/1000/1000</f>
        <v>318.55904118071953</v>
      </c>
      <c r="C93" s="76">
        <f>validationRate90p*syncResourceRatio90p*secondsPerYear*LN(1+cpuGrowth)*POWER(1+cpuGrowth,A93)*syncTime90p/365/1000/1000</f>
        <v>50.014963682585318</v>
      </c>
      <c r="D93" s="11">
        <f t="shared" si="8"/>
        <v>451.99976691834138</v>
      </c>
      <c r="E93" s="6">
        <f t="shared" si="9"/>
        <v>1.5859640944503206</v>
      </c>
      <c r="F93" s="3"/>
    </row>
    <row r="94" spans="1:13" x14ac:dyDescent="0.25">
      <c r="A94">
        <v>9</v>
      </c>
      <c r="B94" s="10">
        <f>validationRate90p*syncResourceRatio90p*secondsPerYear*POWER(1+cpuGrowth,A94)*syncTime90p/365/1000/1000</f>
        <v>372.71407818144172</v>
      </c>
      <c r="C94" s="76">
        <f>validationRate90p*syncResourceRatio90p*secondsPerYear*LN(1+cpuGrowth)*POWER(1+cpuGrowth,A94)*syncTime90p/365/1000/1000</f>
        <v>58.517507508624817</v>
      </c>
      <c r="D94" s="11">
        <f t="shared" si="8"/>
        <v>528.83972729445941</v>
      </c>
      <c r="E94" s="6">
        <f t="shared" si="9"/>
        <v>1.8555779905068752</v>
      </c>
      <c r="F94" s="3"/>
    </row>
    <row r="95" spans="1:13" x14ac:dyDescent="0.25">
      <c r="A95">
        <v>10</v>
      </c>
      <c r="B95" s="239">
        <f>validationRate90p*syncResourceRatio90p*secondsPerYear*POWER(1+cpuGrowth,A95)*syncTime90p/365/1000/1000</f>
        <v>436.07547147228695</v>
      </c>
      <c r="C95" s="76">
        <f>validationRate90p*syncResourceRatio90p*secondsPerYear*LN(1+cpuGrowth)*POWER(1+cpuGrowth,A95)*syncTime90p/365/1000/1000</f>
        <v>68.465483785091038</v>
      </c>
      <c r="D95" s="11">
        <f t="shared" si="8"/>
        <v>618.74248093451774</v>
      </c>
      <c r="E95" s="6">
        <f t="shared" si="9"/>
        <v>2.1710262488930443</v>
      </c>
      <c r="F95" s="3"/>
    </row>
    <row r="96" spans="1:13" x14ac:dyDescent="0.25">
      <c r="A96">
        <v>11</v>
      </c>
      <c r="B96" s="10">
        <f>validationRate90p*syncResourceRatio90p*secondsPerYear*POWER(1+cpuGrowth,A96)*syncTime90p/365/1000/1000</f>
        <v>510.20830162257562</v>
      </c>
      <c r="C96" s="76">
        <f>validationRate90p*syncResourceRatio90p*secondsPerYear*LN(1+cpuGrowth)*POWER(1+cpuGrowth,A96)*syncTime90p/365/1000/1000</f>
        <v>80.104616028556507</v>
      </c>
      <c r="D96" s="11">
        <f t="shared" si="8"/>
        <v>723.9287026933855</v>
      </c>
      <c r="E96" s="6">
        <f t="shared" si="9"/>
        <v>2.5401007112048615</v>
      </c>
      <c r="F96" s="3"/>
    </row>
    <row r="97" spans="1:12" x14ac:dyDescent="0.25">
      <c r="A97">
        <v>12</v>
      </c>
      <c r="B97" s="10">
        <f>validationRate90p*syncResourceRatio90p*secondsPerYear*POWER(1+cpuGrowth,A97)*syncTime90p/365/1000/1000</f>
        <v>596.94371289841331</v>
      </c>
      <c r="C97" s="76">
        <f>validationRate90p*syncResourceRatio90p*secondsPerYear*LN(1+cpuGrowth)*POWER(1+cpuGrowth,A97)*syncTime90p/365/1000/1000</f>
        <v>93.722400753411094</v>
      </c>
      <c r="D97" s="11">
        <f t="shared" si="8"/>
        <v>846.9965821512609</v>
      </c>
      <c r="E97" s="6">
        <f t="shared" si="9"/>
        <v>2.9719178321096873</v>
      </c>
      <c r="F97" s="3"/>
    </row>
    <row r="98" spans="1:12" x14ac:dyDescent="0.25">
      <c r="A98">
        <v>13</v>
      </c>
      <c r="B98" s="10">
        <f>validationRate90p*syncResourceRatio90p*secondsPerYear*POWER(1+cpuGrowth,A98)*syncTime90p/365/1000/1000</f>
        <v>698.4241440911436</v>
      </c>
      <c r="C98" s="76">
        <f>validationRate90p*syncResourceRatio90p*secondsPerYear*LN(1+cpuGrowth)*POWER(1+cpuGrowth,A98)*syncTime90p/365/1000/1000</f>
        <v>109.65520888149099</v>
      </c>
      <c r="D98" s="11">
        <f t="shared" si="8"/>
        <v>990.98600111697533</v>
      </c>
      <c r="E98" s="6">
        <f t="shared" si="9"/>
        <v>3.4771438635683345</v>
      </c>
      <c r="F98" s="3"/>
    </row>
    <row r="99" spans="1:12" x14ac:dyDescent="0.25">
      <c r="A99">
        <v>14</v>
      </c>
      <c r="B99" s="10">
        <f>validationRate90p*syncResourceRatio90p*secondsPerYear*POWER(1+cpuGrowth,A99)*syncTime90p/365/1000/1000</f>
        <v>817.15624858663818</v>
      </c>
      <c r="C99" s="76">
        <f>validationRate90p*syncResourceRatio90p*secondsPerYear*LN(1+cpuGrowth)*POWER(1+cpuGrowth,A99)*syncTime90p/365/1000/1000</f>
        <v>128.29659439134446</v>
      </c>
      <c r="D99" s="11">
        <f t="shared" si="8"/>
        <v>1159.4536213068609</v>
      </c>
      <c r="E99" s="6">
        <f t="shared" si="9"/>
        <v>4.0682583203749507</v>
      </c>
      <c r="F99" s="3"/>
    </row>
    <row r="100" spans="1:12" x14ac:dyDescent="0.25">
      <c r="A100">
        <v>15</v>
      </c>
      <c r="B100" s="10">
        <f>validationRate90p*syncResourceRatio90p*secondsPerYear*POWER(1+cpuGrowth,A100)*syncTime90p/365/1000/1000</f>
        <v>956.07281084636656</v>
      </c>
      <c r="C100" s="76">
        <f>validationRate90p*syncResourceRatio90p*secondsPerYear*LN(1+cpuGrowth)*POWER(1+cpuGrowth,A100)*syncTime90p/365/1000/1000</f>
        <v>150.10701543787297</v>
      </c>
      <c r="D100" s="11">
        <f t="shared" si="8"/>
        <v>1356.5607369290271</v>
      </c>
      <c r="E100" s="6">
        <f t="shared" si="9"/>
        <v>4.7598622348386916</v>
      </c>
      <c r="F100" s="3"/>
    </row>
    <row r="102" spans="1:12" x14ac:dyDescent="0.25">
      <c r="A102" s="9" t="s">
        <v>66</v>
      </c>
    </row>
    <row r="103" spans="1:12" x14ac:dyDescent="0.25">
      <c r="A103" s="80" t="s">
        <v>6</v>
      </c>
      <c r="B103" s="238" t="s">
        <v>75</v>
      </c>
    </row>
    <row r="104" spans="1:12" x14ac:dyDescent="0.25">
      <c r="A104" s="80"/>
    </row>
    <row r="105" spans="1:12" x14ac:dyDescent="0.25">
      <c r="A105" s="240" t="s">
        <v>256</v>
      </c>
    </row>
    <row r="107" spans="1:12" x14ac:dyDescent="0.25">
      <c r="F107" s="180" t="s">
        <v>199</v>
      </c>
      <c r="H107" s="1" t="s">
        <v>27</v>
      </c>
    </row>
    <row r="108" spans="1:12" x14ac:dyDescent="0.25">
      <c r="B108" s="19"/>
      <c r="C108" s="19"/>
      <c r="D108" s="19"/>
      <c r="E108" s="1" t="s">
        <v>29</v>
      </c>
      <c r="F108" s="1" t="s">
        <v>21</v>
      </c>
      <c r="G108" s="1" t="s">
        <v>21</v>
      </c>
      <c r="H108" s="1" t="s">
        <v>28</v>
      </c>
      <c r="I108" s="19"/>
      <c r="K108" s="229"/>
    </row>
    <row r="109" spans="1:12" x14ac:dyDescent="0.25">
      <c r="A109" s="4" t="s">
        <v>7</v>
      </c>
      <c r="B109" s="1" t="s">
        <v>19</v>
      </c>
      <c r="C109" s="1" t="s">
        <v>25</v>
      </c>
      <c r="D109" s="1" t="s">
        <v>8</v>
      </c>
      <c r="E109" s="1" t="s">
        <v>30</v>
      </c>
      <c r="F109" s="1" t="s">
        <v>26</v>
      </c>
      <c r="G109" s="1" t="s">
        <v>26</v>
      </c>
      <c r="H109" s="1" t="s">
        <v>26</v>
      </c>
      <c r="I109" s="1" t="s">
        <v>9</v>
      </c>
      <c r="K109" s="229" t="s">
        <v>253</v>
      </c>
      <c r="L109" s="229" t="s">
        <v>65</v>
      </c>
    </row>
    <row r="110" spans="1:12" x14ac:dyDescent="0.25">
      <c r="A110">
        <v>0</v>
      </c>
      <c r="B110" s="297">
        <v>4.0999999999999996</v>
      </c>
      <c r="C110" s="21">
        <v>415</v>
      </c>
      <c r="D110" s="76">
        <f>B110*secondsPerYear/1000/1000</f>
        <v>129.29759999999999</v>
      </c>
      <c r="E110" s="11">
        <f>B110*secondsPerBlock*avgTrSize/1000</f>
        <v>1168.5</v>
      </c>
      <c r="F110" s="10">
        <f>D110*(assumevalidBlockTime/365)</f>
        <v>74.390399999999985</v>
      </c>
      <c r="G110" s="10">
        <f>C110+D110-F110</f>
        <v>469.90719999999999</v>
      </c>
      <c r="H110" s="10">
        <f>F110+G110*(1-assumevalidSpeedup)</f>
        <v>121.38111999999998</v>
      </c>
      <c r="I110" s="18">
        <f>(H110*1000*1000/(validationRate90p*POWER(1+cpuGrowth,A110)))/(secondsPerYear/365)</f>
        <v>7.0243703703703702</v>
      </c>
      <c r="K110" s="297">
        <v>4.0999999999999996</v>
      </c>
      <c r="L110" s="17">
        <v>60</v>
      </c>
    </row>
    <row r="111" spans="1:12" x14ac:dyDescent="0.25">
      <c r="A111">
        <v>1</v>
      </c>
      <c r="B111" s="297">
        <v>4.5</v>
      </c>
      <c r="C111" s="10">
        <f>C110+D110</f>
        <v>544.29759999999999</v>
      </c>
      <c r="D111" s="76">
        <f t="shared" ref="D111:D125" si="10">B111*secondsPerYear/1000/1000</f>
        <v>141.91200000000001</v>
      </c>
      <c r="E111" s="11">
        <f t="shared" ref="E111:E125" si="11">B111*secondsPerBlock*avgTrSize/1000</f>
        <v>1282.5</v>
      </c>
      <c r="F111" s="10">
        <f>D111*(assumevalidBlockTime/365)</f>
        <v>81.647999999999996</v>
      </c>
      <c r="G111" s="10">
        <f t="shared" ref="G111:G124" si="12">C111+D111-F111</f>
        <v>604.5616</v>
      </c>
      <c r="H111" s="10">
        <f t="shared" ref="H111:H125" si="13">F111+G111*(1-assumevalidSpeedup)</f>
        <v>142.10415999999998</v>
      </c>
      <c r="I111" s="18">
        <f>(H111*1000*1000/(validationRate90p*POWER(1+cpuGrowth,A111)))/(secondsPerYear/365)</f>
        <v>7.0287353592909128</v>
      </c>
      <c r="K111" s="297">
        <v>4.5</v>
      </c>
      <c r="L111" s="17">
        <v>61</v>
      </c>
    </row>
    <row r="112" spans="1:12" x14ac:dyDescent="0.25">
      <c r="A112">
        <v>2</v>
      </c>
      <c r="B112" s="297">
        <v>5</v>
      </c>
      <c r="C112" s="10">
        <f t="shared" ref="C112:C125" si="14">C111+D111</f>
        <v>686.20960000000002</v>
      </c>
      <c r="D112" s="76">
        <f t="shared" si="10"/>
        <v>157.68</v>
      </c>
      <c r="E112" s="11">
        <f t="shared" si="11"/>
        <v>1425</v>
      </c>
      <c r="F112" s="10">
        <f>D112*(assumevalidBlockTime/365)</f>
        <v>90.72</v>
      </c>
      <c r="G112" s="10">
        <f t="shared" si="12"/>
        <v>753.16959999999995</v>
      </c>
      <c r="H112" s="10">
        <f t="shared" si="13"/>
        <v>166.03695999999997</v>
      </c>
      <c r="I112" s="18">
        <f>(H112*1000*1000/(validationRate90p*POWER(1+cpuGrowth,A112)))/(secondsPerYear/365)</f>
        <v>7.0192273872235891</v>
      </c>
      <c r="K112" s="297">
        <v>5</v>
      </c>
      <c r="L112" s="17">
        <v>63</v>
      </c>
    </row>
    <row r="113" spans="1:14" x14ac:dyDescent="0.25">
      <c r="A113">
        <v>3</v>
      </c>
      <c r="B113" s="297">
        <v>5.6</v>
      </c>
      <c r="C113" s="10">
        <f t="shared" si="14"/>
        <v>843.88959999999997</v>
      </c>
      <c r="D113" s="76">
        <f t="shared" si="10"/>
        <v>176.60160000000002</v>
      </c>
      <c r="E113" s="11">
        <f t="shared" si="11"/>
        <v>1596</v>
      </c>
      <c r="F113" s="10">
        <f>D113*(assumevalidBlockTime/365)</f>
        <v>101.60640000000001</v>
      </c>
      <c r="G113" s="10">
        <f t="shared" si="12"/>
        <v>918.88479999999993</v>
      </c>
      <c r="H113" s="10">
        <f t="shared" si="13"/>
        <v>193.49487999999997</v>
      </c>
      <c r="I113" s="18">
        <f>(H113*1000*1000/(validationRate90p*POWER(1+cpuGrowth,A113)))/(secondsPerYear/365)</f>
        <v>6.9914644613713612</v>
      </c>
      <c r="K113" s="297">
        <v>5.6</v>
      </c>
      <c r="L113" s="17">
        <v>68</v>
      </c>
    </row>
    <row r="114" spans="1:14" x14ac:dyDescent="0.25">
      <c r="A114">
        <v>4</v>
      </c>
      <c r="B114" s="297">
        <v>6.4</v>
      </c>
      <c r="C114" s="10">
        <f t="shared" si="14"/>
        <v>1020.4911999999999</v>
      </c>
      <c r="D114" s="76">
        <f t="shared" si="10"/>
        <v>201.8304</v>
      </c>
      <c r="E114" s="11">
        <f t="shared" si="11"/>
        <v>1824</v>
      </c>
      <c r="F114" s="10">
        <f>D114*(assumevalidBlockTime/365)</f>
        <v>116.12159999999999</v>
      </c>
      <c r="G114" s="10">
        <f t="shared" si="12"/>
        <v>1106.2</v>
      </c>
      <c r="H114" s="10">
        <f t="shared" si="13"/>
        <v>226.74159999999995</v>
      </c>
      <c r="I114" s="18">
        <f>(H114*1000*1000/(validationRate90p*POWER(1+cpuGrowth,A114)))/(secondsPerYear/365)</f>
        <v>7.0023533435453515</v>
      </c>
      <c r="K114" s="297">
        <v>6.4</v>
      </c>
      <c r="L114" s="17">
        <v>73</v>
      </c>
    </row>
    <row r="115" spans="1:14" x14ac:dyDescent="0.25">
      <c r="A115">
        <v>5</v>
      </c>
      <c r="B115" s="297">
        <v>7.3</v>
      </c>
      <c r="C115" s="10">
        <f t="shared" si="14"/>
        <v>1222.3216</v>
      </c>
      <c r="D115" s="76">
        <f t="shared" si="10"/>
        <v>230.21279999999999</v>
      </c>
      <c r="E115" s="11">
        <f t="shared" si="11"/>
        <v>2080.5</v>
      </c>
      <c r="F115" s="10">
        <f>D115*(assumevalidBlockTime/365)</f>
        <v>132.45119999999997</v>
      </c>
      <c r="G115" s="10">
        <f t="shared" si="12"/>
        <v>1320.0832</v>
      </c>
      <c r="H115" s="10">
        <f t="shared" si="13"/>
        <v>264.45951999999994</v>
      </c>
      <c r="I115" s="18">
        <f>(H115*1000*1000/(validationRate90p*POWER(1+cpuGrowth,A115)))/(secondsPerYear/365)</f>
        <v>6.9804940054070794</v>
      </c>
      <c r="K115" s="297">
        <v>7.3</v>
      </c>
      <c r="L115" s="17">
        <v>82</v>
      </c>
    </row>
    <row r="116" spans="1:14" x14ac:dyDescent="0.25">
      <c r="A116">
        <v>6</v>
      </c>
      <c r="B116" s="297">
        <v>8.5</v>
      </c>
      <c r="C116" s="10">
        <f t="shared" si="14"/>
        <v>1452.5344</v>
      </c>
      <c r="D116" s="76">
        <f t="shared" si="10"/>
        <v>268.05599999999998</v>
      </c>
      <c r="E116" s="11">
        <f t="shared" si="11"/>
        <v>2422.5</v>
      </c>
      <c r="F116" s="10">
        <f>D116*(assumevalidBlockTime/365)</f>
        <v>154.22399999999999</v>
      </c>
      <c r="G116" s="10">
        <f t="shared" si="12"/>
        <v>1566.3664000000001</v>
      </c>
      <c r="H116" s="10">
        <f t="shared" si="13"/>
        <v>310.86063999999999</v>
      </c>
      <c r="I116" s="18">
        <f>(H116*1000*1000/(validationRate90p*POWER(1+cpuGrowth,A116)))/(secondsPerYear/365)</f>
        <v>7.0130482711259958</v>
      </c>
      <c r="K116" s="297">
        <v>8.5</v>
      </c>
      <c r="L116" s="17">
        <v>92</v>
      </c>
    </row>
    <row r="117" spans="1:14" x14ac:dyDescent="0.25">
      <c r="A117">
        <v>7</v>
      </c>
      <c r="B117" s="297">
        <v>9.6999999999999993</v>
      </c>
      <c r="C117" s="10">
        <f t="shared" si="14"/>
        <v>1720.5904</v>
      </c>
      <c r="D117" s="76">
        <f t="shared" si="10"/>
        <v>305.89920000000001</v>
      </c>
      <c r="E117" s="11">
        <f t="shared" si="11"/>
        <v>2764.5</v>
      </c>
      <c r="F117" s="10">
        <f>D117*(assumevalidBlockTime/365)</f>
        <v>175.99680000000001</v>
      </c>
      <c r="G117" s="10">
        <f t="shared" si="12"/>
        <v>1850.4928</v>
      </c>
      <c r="H117" s="10">
        <f t="shared" si="13"/>
        <v>361.04607999999996</v>
      </c>
      <c r="I117" s="18">
        <f>(H117*1000*1000/(validationRate90p*POWER(1+cpuGrowth,A117)))/(secondsPerYear/365)</f>
        <v>6.9617410266559565</v>
      </c>
      <c r="K117" s="297">
        <v>9.6999999999999993</v>
      </c>
      <c r="L117" s="17">
        <v>103</v>
      </c>
    </row>
    <row r="118" spans="1:14" x14ac:dyDescent="0.25">
      <c r="A118">
        <v>8</v>
      </c>
      <c r="B118" s="297">
        <v>11.4</v>
      </c>
      <c r="C118" s="10">
        <f t="shared" si="14"/>
        <v>2026.4896000000001</v>
      </c>
      <c r="D118" s="76">
        <f t="shared" si="10"/>
        <v>359.5104</v>
      </c>
      <c r="E118" s="11">
        <f t="shared" si="11"/>
        <v>3249</v>
      </c>
      <c r="F118" s="10">
        <f>D118*(assumevalidBlockTime/365)</f>
        <v>206.8416</v>
      </c>
      <c r="G118" s="10">
        <f t="shared" si="12"/>
        <v>2179.1583999999998</v>
      </c>
      <c r="H118" s="10">
        <f t="shared" si="13"/>
        <v>424.75743999999992</v>
      </c>
      <c r="I118" s="18">
        <f>(H118*1000*1000/(validationRate90p*POWER(1+cpuGrowth,A118)))/(secondsPerYear/365)</f>
        <v>7.0001986185503595</v>
      </c>
      <c r="K118" s="297">
        <v>11.4</v>
      </c>
      <c r="L118" s="17">
        <v>118</v>
      </c>
    </row>
    <row r="119" spans="1:14" x14ac:dyDescent="0.25">
      <c r="A119">
        <v>9</v>
      </c>
      <c r="B119" s="297">
        <v>13.4</v>
      </c>
      <c r="C119" s="10">
        <f t="shared" si="14"/>
        <v>2386</v>
      </c>
      <c r="D119" s="76">
        <f t="shared" si="10"/>
        <v>422.58240000000001</v>
      </c>
      <c r="E119" s="11">
        <f t="shared" si="11"/>
        <v>3819</v>
      </c>
      <c r="F119" s="10">
        <f>D119*(assumevalidBlockTime/365)</f>
        <v>243.12959999999998</v>
      </c>
      <c r="G119" s="10">
        <f t="shared" si="12"/>
        <v>2565.4528</v>
      </c>
      <c r="H119" s="10">
        <f t="shared" si="13"/>
        <v>499.67487999999992</v>
      </c>
      <c r="I119" s="18">
        <f>(H119*1000*1000/(validationRate90p*POWER(1+cpuGrowth,A119)))/(secondsPerYear/365)</f>
        <v>7.0383526503738567</v>
      </c>
      <c r="K119" s="297">
        <v>13.4</v>
      </c>
      <c r="L119" s="17">
        <v>135</v>
      </c>
    </row>
    <row r="120" spans="1:14" x14ac:dyDescent="0.25">
      <c r="A120">
        <v>10</v>
      </c>
      <c r="B120" s="297">
        <v>15.3</v>
      </c>
      <c r="C120" s="22">
        <f t="shared" si="14"/>
        <v>2808.5824000000002</v>
      </c>
      <c r="D120" s="76">
        <f t="shared" si="10"/>
        <v>482.50079999999997</v>
      </c>
      <c r="E120" s="11">
        <f t="shared" si="11"/>
        <v>4360.5</v>
      </c>
      <c r="F120" s="10">
        <f>D120*(assumevalidBlockTime/365)</f>
        <v>277.60319999999996</v>
      </c>
      <c r="G120" s="10">
        <f t="shared" si="12"/>
        <v>3013.48</v>
      </c>
      <c r="H120" s="10">
        <f t="shared" si="13"/>
        <v>578.95119999999997</v>
      </c>
      <c r="I120" s="18">
        <f>(H120*1000*1000/(validationRate90p*POWER(1+cpuGrowth,A120)))/(secondsPerYear/365)</f>
        <v>6.9701095311277177</v>
      </c>
      <c r="K120" s="297">
        <v>15.3</v>
      </c>
      <c r="L120" s="17">
        <v>156</v>
      </c>
    </row>
    <row r="121" spans="1:14" x14ac:dyDescent="0.25">
      <c r="A121">
        <v>11</v>
      </c>
      <c r="B121" s="297">
        <v>17.8</v>
      </c>
      <c r="C121" s="10">
        <f t="shared" si="14"/>
        <v>3291.0832</v>
      </c>
      <c r="D121" s="76">
        <f t="shared" si="10"/>
        <v>561.34080000000006</v>
      </c>
      <c r="E121" s="11">
        <f t="shared" si="11"/>
        <v>5073</v>
      </c>
      <c r="F121" s="10">
        <f>D121*(assumevalidBlockTime/365)</f>
        <v>322.96320000000003</v>
      </c>
      <c r="G121" s="10">
        <f t="shared" si="12"/>
        <v>3529.4607999999998</v>
      </c>
      <c r="H121" s="10">
        <f t="shared" si="13"/>
        <v>675.90927999999985</v>
      </c>
      <c r="I121" s="18">
        <f>(H121*1000*1000/(validationRate90p*POWER(1+cpuGrowth,A121)))/(secondsPerYear/365)</f>
        <v>6.955048964736374</v>
      </c>
      <c r="K121" s="297">
        <v>17.8</v>
      </c>
      <c r="L121" s="17">
        <v>183</v>
      </c>
    </row>
    <row r="122" spans="1:14" x14ac:dyDescent="0.25">
      <c r="A122">
        <v>12</v>
      </c>
      <c r="B122" s="297">
        <v>21</v>
      </c>
      <c r="C122" s="10">
        <f t="shared" si="14"/>
        <v>3852.424</v>
      </c>
      <c r="D122" s="76">
        <f t="shared" si="10"/>
        <v>662.25599999999997</v>
      </c>
      <c r="E122" s="11">
        <f t="shared" si="11"/>
        <v>5985</v>
      </c>
      <c r="F122" s="10">
        <f>D122*(assumevalidBlockTime/365)</f>
        <v>381.02399999999994</v>
      </c>
      <c r="G122" s="10">
        <f t="shared" si="12"/>
        <v>4133.6559999999999</v>
      </c>
      <c r="H122" s="10">
        <f t="shared" si="13"/>
        <v>794.38959999999986</v>
      </c>
      <c r="I122" s="18">
        <f>(H122*1000*1000/(validationRate90p*POWER(1+cpuGrowth,A122)))/(secondsPerYear/365)</f>
        <v>6.9864969006043189</v>
      </c>
      <c r="K122" s="297">
        <v>21</v>
      </c>
      <c r="L122" s="17">
        <v>215</v>
      </c>
    </row>
    <row r="123" spans="1:14" x14ac:dyDescent="0.25">
      <c r="A123">
        <v>13</v>
      </c>
      <c r="B123" s="297">
        <v>24.5</v>
      </c>
      <c r="C123" s="10">
        <f t="shared" si="14"/>
        <v>4514.68</v>
      </c>
      <c r="D123" s="76">
        <f t="shared" si="10"/>
        <v>772.63199999999995</v>
      </c>
      <c r="E123" s="11">
        <f t="shared" si="11"/>
        <v>6982.5</v>
      </c>
      <c r="F123" s="10">
        <f>D123*(assumevalidBlockTime/365)</f>
        <v>444.52799999999996</v>
      </c>
      <c r="G123" s="10">
        <f t="shared" si="12"/>
        <v>4842.7839999999997</v>
      </c>
      <c r="H123" s="10">
        <f t="shared" si="13"/>
        <v>928.80639999999983</v>
      </c>
      <c r="I123" s="18">
        <f>(H123*1000*1000/(validationRate90p*POWER(1+cpuGrowth,A123)))/(secondsPerYear/365)</f>
        <v>6.9817655091884321</v>
      </c>
      <c r="K123" s="297">
        <v>24.5</v>
      </c>
      <c r="L123" s="17">
        <v>245</v>
      </c>
    </row>
    <row r="124" spans="1:14" x14ac:dyDescent="0.25">
      <c r="A124">
        <v>14</v>
      </c>
      <c r="B124" s="297">
        <v>29</v>
      </c>
      <c r="C124" s="10">
        <f t="shared" si="14"/>
        <v>5287.3119999999999</v>
      </c>
      <c r="D124" s="76">
        <f t="shared" si="10"/>
        <v>914.54399999999998</v>
      </c>
      <c r="E124" s="11">
        <f t="shared" si="11"/>
        <v>8265</v>
      </c>
      <c r="F124" s="10">
        <f>D124*(assumevalidBlockTime/365)</f>
        <v>526.17599999999993</v>
      </c>
      <c r="G124" s="10">
        <f t="shared" si="12"/>
        <v>5675.68</v>
      </c>
      <c r="H124" s="10">
        <f t="shared" si="13"/>
        <v>1093.7439999999997</v>
      </c>
      <c r="I124" s="18">
        <f>(H124*1000*1000/(validationRate90p*POWER(1+cpuGrowth,A124)))/(secondsPerYear/365)</f>
        <v>7.0269988266401819</v>
      </c>
      <c r="K124" s="297">
        <v>29</v>
      </c>
      <c r="L124" s="17">
        <v>290</v>
      </c>
    </row>
    <row r="125" spans="1:14" x14ac:dyDescent="0.25">
      <c r="A125">
        <v>15</v>
      </c>
      <c r="B125" s="297">
        <v>34</v>
      </c>
      <c r="C125" s="10">
        <f t="shared" si="14"/>
        <v>6201.8559999999998</v>
      </c>
      <c r="D125" s="76">
        <f t="shared" si="10"/>
        <v>1072.2239999999999</v>
      </c>
      <c r="E125" s="11">
        <f t="shared" si="11"/>
        <v>9690</v>
      </c>
      <c r="F125" s="10">
        <f>D125*(assumevalidBlockTime/365)</f>
        <v>616.89599999999996</v>
      </c>
      <c r="G125" s="10">
        <f>C125+D125-F125</f>
        <v>6657.1840000000002</v>
      </c>
      <c r="H125" s="10">
        <f t="shared" si="13"/>
        <v>1282.6143999999999</v>
      </c>
      <c r="I125" s="18">
        <f>(H125*1000*1000/(validationRate90p*POWER(1+cpuGrowth,A125)))/(secondsPerYear/365)</f>
        <v>7.0431096079794901</v>
      </c>
      <c r="K125" s="297">
        <v>34</v>
      </c>
      <c r="L125" s="17">
        <v>340</v>
      </c>
    </row>
    <row r="127" spans="1:14" x14ac:dyDescent="0.25">
      <c r="F127" s="180" t="s">
        <v>199</v>
      </c>
      <c r="H127" s="1" t="s">
        <v>27</v>
      </c>
    </row>
    <row r="128" spans="1:14" x14ac:dyDescent="0.25">
      <c r="E128" s="1" t="s">
        <v>29</v>
      </c>
      <c r="F128" s="180" t="s">
        <v>21</v>
      </c>
      <c r="G128" s="1" t="s">
        <v>21</v>
      </c>
      <c r="H128" s="1" t="s">
        <v>28</v>
      </c>
      <c r="L128" s="229" t="s">
        <v>254</v>
      </c>
      <c r="N128" s="229" t="s">
        <v>29</v>
      </c>
    </row>
    <row r="129" spans="1:14" x14ac:dyDescent="0.25">
      <c r="A129" s="4" t="s">
        <v>7</v>
      </c>
      <c r="B129" s="5" t="s">
        <v>19</v>
      </c>
      <c r="C129" s="5" t="s">
        <v>25</v>
      </c>
      <c r="D129" s="5" t="s">
        <v>8</v>
      </c>
      <c r="E129" s="1" t="s">
        <v>30</v>
      </c>
      <c r="F129" s="1" t="s">
        <v>26</v>
      </c>
      <c r="G129" s="1" t="s">
        <v>26</v>
      </c>
      <c r="H129" s="1" t="s">
        <v>26</v>
      </c>
      <c r="I129" s="5" t="s">
        <v>9</v>
      </c>
      <c r="K129" s="229" t="s">
        <v>253</v>
      </c>
      <c r="L129" s="229" t="s">
        <v>255</v>
      </c>
      <c r="M129" s="229" t="s">
        <v>65</v>
      </c>
      <c r="N129" s="229" t="s">
        <v>255</v>
      </c>
    </row>
    <row r="130" spans="1:14" x14ac:dyDescent="0.25">
      <c r="A130">
        <v>0</v>
      </c>
      <c r="B130" s="296">
        <v>4.2</v>
      </c>
      <c r="C130" s="250">
        <v>11300</v>
      </c>
      <c r="D130" s="76">
        <f t="shared" ref="D130:D145" si="15">B130*secondsPerYear/1000/1000</f>
        <v>132.4512</v>
      </c>
      <c r="E130" s="11">
        <f t="shared" ref="E130:E145" si="16">B130*secondsPerBlock*avgTrSize/1000</f>
        <v>1197</v>
      </c>
      <c r="F130" s="10">
        <f>assumevalidBlockTime*D130/365</f>
        <v>76.204800000000006</v>
      </c>
      <c r="G130" s="10">
        <f>C130+D130-F130</f>
        <v>11356.2464</v>
      </c>
      <c r="H130" s="10">
        <f t="shared" ref="H130:H145" si="17">F130+G130*(1-assumevalidSpeedup)</f>
        <v>1211.8294399999997</v>
      </c>
      <c r="I130" s="18">
        <f>(H130*1000*1000/(validationRate90p*POWER(1+cpuGrowth,A130)))/(secondsPerYear/365)</f>
        <v>70.129018518518507</v>
      </c>
      <c r="K130" s="296">
        <v>4.2</v>
      </c>
      <c r="L130" s="20">
        <v>390</v>
      </c>
      <c r="M130" s="23">
        <v>4.2</v>
      </c>
      <c r="N130" s="20">
        <v>11300</v>
      </c>
    </row>
    <row r="131" spans="1:14" x14ac:dyDescent="0.25">
      <c r="A131">
        <v>1</v>
      </c>
      <c r="B131" s="297">
        <v>4.5999999999999996</v>
      </c>
      <c r="C131" s="10">
        <f>C130+D130</f>
        <v>11432.4512</v>
      </c>
      <c r="D131" s="76">
        <f t="shared" si="15"/>
        <v>145.06560000000002</v>
      </c>
      <c r="E131" s="11">
        <f t="shared" si="16"/>
        <v>1311</v>
      </c>
      <c r="F131" s="10">
        <f t="shared" ref="F131:F145" si="18">assumevalidBlockTime*D131/365</f>
        <v>83.462400000000017</v>
      </c>
      <c r="G131" s="10">
        <f t="shared" ref="G131:G145" si="19">C131+D131-F131</f>
        <v>11494.054399999999</v>
      </c>
      <c r="H131" s="10">
        <f t="shared" si="17"/>
        <v>1232.8678399999997</v>
      </c>
      <c r="I131" s="18">
        <f>(H131*1000*1000/(validationRate90p*POWER(1+cpuGrowth,A131)))/(secondsPerYear/365)</f>
        <v>60.979930357708113</v>
      </c>
      <c r="K131" s="297">
        <v>4.5999999999999996</v>
      </c>
      <c r="M131" s="17">
        <v>14</v>
      </c>
    </row>
    <row r="132" spans="1:14" x14ac:dyDescent="0.25">
      <c r="A132">
        <v>2</v>
      </c>
      <c r="B132" s="297">
        <v>5.0999999999999996</v>
      </c>
      <c r="C132" s="10">
        <f t="shared" ref="C132:C145" si="20">C131+D131</f>
        <v>11577.516799999999</v>
      </c>
      <c r="D132" s="76">
        <f t="shared" si="15"/>
        <v>160.83360000000002</v>
      </c>
      <c r="E132" s="11">
        <f t="shared" si="16"/>
        <v>1453.5</v>
      </c>
      <c r="F132" s="10">
        <f t="shared" si="18"/>
        <v>92.534400000000005</v>
      </c>
      <c r="G132" s="10">
        <f t="shared" si="19"/>
        <v>11645.815999999999</v>
      </c>
      <c r="H132" s="10">
        <f t="shared" si="17"/>
        <v>1257.1159999999995</v>
      </c>
      <c r="I132" s="18">
        <f>(H132*1000*1000/(validationRate90p*POWER(1+cpuGrowth,A132)))/(secondsPerYear/365)</f>
        <v>53.144691736809477</v>
      </c>
      <c r="K132" s="297">
        <v>5.0999999999999996</v>
      </c>
      <c r="M132" s="17">
        <v>24</v>
      </c>
    </row>
    <row r="133" spans="1:14" x14ac:dyDescent="0.25">
      <c r="A133">
        <v>3</v>
      </c>
      <c r="B133" s="297">
        <v>5.7</v>
      </c>
      <c r="C133" s="10">
        <f t="shared" si="20"/>
        <v>11738.350399999999</v>
      </c>
      <c r="D133" s="76">
        <f t="shared" si="15"/>
        <v>179.7552</v>
      </c>
      <c r="E133" s="11">
        <f t="shared" si="16"/>
        <v>1624.5</v>
      </c>
      <c r="F133" s="10">
        <f t="shared" si="18"/>
        <v>103.42079999999999</v>
      </c>
      <c r="G133" s="10">
        <f t="shared" si="19"/>
        <v>11814.684799999999</v>
      </c>
      <c r="H133" s="10">
        <f t="shared" si="17"/>
        <v>1284.8892799999994</v>
      </c>
      <c r="I133" s="18">
        <f>(H133*1000*1000/(validationRate90p*POWER(1+cpuGrowth,A133)))/(secondsPerYear/365)</f>
        <v>46.426333027091111</v>
      </c>
      <c r="K133" s="297">
        <v>5.7</v>
      </c>
      <c r="M133" s="17">
        <v>35</v>
      </c>
    </row>
    <row r="134" spans="1:14" x14ac:dyDescent="0.25">
      <c r="A134">
        <v>4</v>
      </c>
      <c r="B134" s="297">
        <v>6.5</v>
      </c>
      <c r="C134" s="10">
        <f t="shared" si="20"/>
        <v>11918.105599999999</v>
      </c>
      <c r="D134" s="76">
        <f t="shared" si="15"/>
        <v>204.98400000000001</v>
      </c>
      <c r="E134" s="11">
        <f t="shared" si="16"/>
        <v>1852.5</v>
      </c>
      <c r="F134" s="10">
        <f t="shared" si="18"/>
        <v>117.93599999999999</v>
      </c>
      <c r="G134" s="10">
        <f t="shared" si="19"/>
        <v>12005.1536</v>
      </c>
      <c r="H134" s="10">
        <f t="shared" si="17"/>
        <v>1318.4513599999996</v>
      </c>
      <c r="I134" s="18">
        <f>(H134*1000*1000/(validationRate90p*POWER(1+cpuGrowth,A134)))/(secondsPerYear/365)</f>
        <v>40.717108325062163</v>
      </c>
      <c r="K134" s="297">
        <v>6.5</v>
      </c>
      <c r="M134" s="17">
        <v>46</v>
      </c>
    </row>
    <row r="135" spans="1:14" x14ac:dyDescent="0.25">
      <c r="A135">
        <v>5</v>
      </c>
      <c r="B135" s="297">
        <v>7.4</v>
      </c>
      <c r="C135" s="10">
        <f t="shared" si="20"/>
        <v>12123.089599999999</v>
      </c>
      <c r="D135" s="76">
        <f t="shared" si="15"/>
        <v>233.3664</v>
      </c>
      <c r="E135" s="11">
        <f t="shared" si="16"/>
        <v>2109</v>
      </c>
      <c r="F135" s="10">
        <f t="shared" si="18"/>
        <v>134.26560000000001</v>
      </c>
      <c r="G135" s="10">
        <f t="shared" si="19"/>
        <v>12222.190399999999</v>
      </c>
      <c r="H135" s="10">
        <f t="shared" si="17"/>
        <v>1356.4846399999997</v>
      </c>
      <c r="I135" s="18">
        <f>(H135*1000*1000/(validationRate90p*POWER(1+cpuGrowth,A135)))/(secondsPerYear/365)</f>
        <v>35.804847932669539</v>
      </c>
      <c r="K135" s="297">
        <v>7.4</v>
      </c>
      <c r="M135" s="17">
        <v>58</v>
      </c>
    </row>
    <row r="136" spans="1:14" x14ac:dyDescent="0.25">
      <c r="A136">
        <v>6</v>
      </c>
      <c r="B136" s="297">
        <v>8.6</v>
      </c>
      <c r="C136" s="10">
        <f t="shared" si="20"/>
        <v>12356.456</v>
      </c>
      <c r="D136" s="76">
        <f t="shared" si="15"/>
        <v>271.20959999999997</v>
      </c>
      <c r="E136" s="11">
        <f t="shared" si="16"/>
        <v>2451</v>
      </c>
      <c r="F136" s="10">
        <f t="shared" si="18"/>
        <v>156.0384</v>
      </c>
      <c r="G136" s="10">
        <f t="shared" si="19"/>
        <v>12471.627200000001</v>
      </c>
      <c r="H136" s="10">
        <f t="shared" si="17"/>
        <v>1403.2011199999997</v>
      </c>
      <c r="I136" s="18">
        <f>(H136*1000*1000/(validationRate90p*POWER(1+cpuGrowth,A136)))/(secondsPerYear/365)</f>
        <v>31.656362763256414</v>
      </c>
      <c r="K136" s="297">
        <v>8.6</v>
      </c>
      <c r="M136" s="17">
        <v>72</v>
      </c>
    </row>
    <row r="137" spans="1:14" x14ac:dyDescent="0.25">
      <c r="A137">
        <v>7</v>
      </c>
      <c r="B137" s="297">
        <v>9.6999999999999993</v>
      </c>
      <c r="C137" s="10">
        <f t="shared" si="20"/>
        <v>12627.6656</v>
      </c>
      <c r="D137" s="76">
        <f t="shared" si="15"/>
        <v>305.89920000000001</v>
      </c>
      <c r="E137" s="11">
        <f t="shared" si="16"/>
        <v>2764.5</v>
      </c>
      <c r="F137" s="10">
        <f t="shared" si="18"/>
        <v>175.99680000000001</v>
      </c>
      <c r="G137" s="10">
        <f t="shared" si="19"/>
        <v>12757.567999999999</v>
      </c>
      <c r="H137" s="10">
        <f t="shared" si="17"/>
        <v>1451.7535999999996</v>
      </c>
      <c r="I137" s="18">
        <f>(H137*1000*1000/(validationRate90p*POWER(1+cpuGrowth,A137)))/(secondsPerYear/365)</f>
        <v>27.99291602256277</v>
      </c>
      <c r="K137" s="297">
        <v>9.6999999999999993</v>
      </c>
      <c r="M137" s="17">
        <v>87</v>
      </c>
    </row>
    <row r="138" spans="1:14" x14ac:dyDescent="0.25">
      <c r="A138">
        <v>8</v>
      </c>
      <c r="B138" s="297">
        <v>11.5</v>
      </c>
      <c r="C138" s="10">
        <f t="shared" si="20"/>
        <v>12933.5648</v>
      </c>
      <c r="D138" s="76">
        <f t="shared" si="15"/>
        <v>362.66399999999999</v>
      </c>
      <c r="E138" s="11">
        <f t="shared" si="16"/>
        <v>3277.5</v>
      </c>
      <c r="F138" s="10">
        <f t="shared" si="18"/>
        <v>208.65600000000001</v>
      </c>
      <c r="G138" s="10">
        <f t="shared" si="19"/>
        <v>13087.5728</v>
      </c>
      <c r="H138" s="10">
        <f t="shared" si="17"/>
        <v>1517.4132799999998</v>
      </c>
      <c r="I138" s="18">
        <f>(H138*1000*1000/(validationRate90p*POWER(1+cpuGrowth,A138)))/(secondsPerYear/365)</f>
        <v>25.007671075581321</v>
      </c>
      <c r="K138" s="297">
        <v>11.5</v>
      </c>
      <c r="M138" s="17">
        <v>105</v>
      </c>
    </row>
    <row r="139" spans="1:14" x14ac:dyDescent="0.25">
      <c r="A139">
        <v>9</v>
      </c>
      <c r="B139" s="297">
        <v>13.4</v>
      </c>
      <c r="C139" s="10">
        <f t="shared" si="20"/>
        <v>13296.228800000001</v>
      </c>
      <c r="D139" s="76">
        <f t="shared" si="15"/>
        <v>422.58240000000001</v>
      </c>
      <c r="E139" s="11">
        <f t="shared" si="16"/>
        <v>3819</v>
      </c>
      <c r="F139" s="10">
        <f t="shared" si="18"/>
        <v>243.12960000000001</v>
      </c>
      <c r="G139" s="10">
        <f t="shared" si="19"/>
        <v>13475.6816</v>
      </c>
      <c r="H139" s="10">
        <f t="shared" si="17"/>
        <v>1590.6977599999996</v>
      </c>
      <c r="I139" s="18">
        <f>(H139*1000*1000/(validationRate90p*POWER(1+cpuGrowth,A139)))/(secondsPerYear/365)</f>
        <v>22.406353097117382</v>
      </c>
      <c r="K139" s="297">
        <v>13.4</v>
      </c>
      <c r="M139" s="17">
        <v>125</v>
      </c>
    </row>
    <row r="140" spans="1:14" x14ac:dyDescent="0.25">
      <c r="A140">
        <v>10</v>
      </c>
      <c r="B140" s="297">
        <v>15.5</v>
      </c>
      <c r="C140" s="22">
        <f t="shared" si="20"/>
        <v>13718.8112</v>
      </c>
      <c r="D140" s="76">
        <f t="shared" si="15"/>
        <v>488.80799999999999</v>
      </c>
      <c r="E140" s="11">
        <f t="shared" si="16"/>
        <v>4417.5</v>
      </c>
      <c r="F140" s="10">
        <f t="shared" si="18"/>
        <v>281.23199999999997</v>
      </c>
      <c r="G140" s="10">
        <f t="shared" si="19"/>
        <v>13926.387200000001</v>
      </c>
      <c r="H140" s="10">
        <f t="shared" si="17"/>
        <v>1673.8707199999997</v>
      </c>
      <c r="I140" s="18">
        <f>(H140*1000*1000/(validationRate90p*POWER(1+cpuGrowth,A140)))/(secondsPerYear/365)</f>
        <v>20.152065077933361</v>
      </c>
      <c r="K140" s="297">
        <v>15.5</v>
      </c>
      <c r="M140" s="17">
        <v>150</v>
      </c>
    </row>
    <row r="141" spans="1:14" x14ac:dyDescent="0.25">
      <c r="A141">
        <v>11</v>
      </c>
      <c r="B141" s="297">
        <v>17.8</v>
      </c>
      <c r="C141" s="10">
        <f t="shared" si="20"/>
        <v>14207.619200000001</v>
      </c>
      <c r="D141" s="76">
        <f t="shared" si="15"/>
        <v>561.34080000000006</v>
      </c>
      <c r="E141" s="11">
        <f t="shared" si="16"/>
        <v>5073</v>
      </c>
      <c r="F141" s="10">
        <f t="shared" si="18"/>
        <v>322.96320000000003</v>
      </c>
      <c r="G141" s="10">
        <f t="shared" si="19"/>
        <v>14445.996800000001</v>
      </c>
      <c r="H141" s="10">
        <f t="shared" si="17"/>
        <v>1767.56288</v>
      </c>
      <c r="I141" s="18">
        <f>(H141*1000*1000/(validationRate90p*POWER(1+cpuGrowth,A141)))/(secondsPerYear/365)</f>
        <v>18.188071598381441</v>
      </c>
      <c r="K141" s="297">
        <v>17.8</v>
      </c>
      <c r="M141" s="17">
        <v>175</v>
      </c>
    </row>
    <row r="142" spans="1:14" x14ac:dyDescent="0.25">
      <c r="A142">
        <v>12</v>
      </c>
      <c r="B142" s="297">
        <v>21</v>
      </c>
      <c r="C142" s="10">
        <f t="shared" si="20"/>
        <v>14768.960000000001</v>
      </c>
      <c r="D142" s="76">
        <f t="shared" si="15"/>
        <v>662.25599999999997</v>
      </c>
      <c r="E142" s="11">
        <f t="shared" si="16"/>
        <v>5985</v>
      </c>
      <c r="F142" s="10">
        <f t="shared" si="18"/>
        <v>381.02399999999994</v>
      </c>
      <c r="G142" s="10">
        <f t="shared" si="19"/>
        <v>15050.192000000001</v>
      </c>
      <c r="H142" s="10">
        <f t="shared" si="17"/>
        <v>1886.0431999999996</v>
      </c>
      <c r="I142" s="18">
        <f>(H142*1000*1000/(validationRate90p*POWER(1+cpuGrowth,A142)))/(secondsPerYear/365)</f>
        <v>16.587370946454804</v>
      </c>
      <c r="K142" s="297">
        <v>21</v>
      </c>
      <c r="M142" s="17">
        <v>205</v>
      </c>
    </row>
    <row r="143" spans="1:14" x14ac:dyDescent="0.25">
      <c r="A143">
        <v>13</v>
      </c>
      <c r="B143" s="297">
        <v>24.5</v>
      </c>
      <c r="C143" s="10">
        <f t="shared" si="20"/>
        <v>15431.216</v>
      </c>
      <c r="D143" s="76">
        <f t="shared" si="15"/>
        <v>772.63199999999995</v>
      </c>
      <c r="E143" s="11">
        <f t="shared" si="16"/>
        <v>6982.5</v>
      </c>
      <c r="F143" s="10">
        <f t="shared" si="18"/>
        <v>444.52800000000002</v>
      </c>
      <c r="G143" s="10">
        <f t="shared" si="19"/>
        <v>15759.32</v>
      </c>
      <c r="H143" s="10">
        <f t="shared" si="17"/>
        <v>2020.4599999999996</v>
      </c>
      <c r="I143" s="18">
        <f>(H143*1000*1000/(validationRate90p*POWER(1+cpuGrowth,A143)))/(secondsPerYear/365)</f>
        <v>15.187640762052093</v>
      </c>
      <c r="K143" s="297">
        <v>24.5</v>
      </c>
      <c r="M143" s="17">
        <v>245</v>
      </c>
    </row>
    <row r="144" spans="1:14" x14ac:dyDescent="0.25">
      <c r="A144">
        <v>14</v>
      </c>
      <c r="B144" s="297">
        <v>29</v>
      </c>
      <c r="C144" s="10">
        <f t="shared" si="20"/>
        <v>16203.848</v>
      </c>
      <c r="D144" s="76">
        <f t="shared" si="15"/>
        <v>914.54399999999998</v>
      </c>
      <c r="E144" s="11">
        <f t="shared" si="16"/>
        <v>8265</v>
      </c>
      <c r="F144" s="10">
        <f t="shared" si="18"/>
        <v>526.17599999999993</v>
      </c>
      <c r="G144" s="10">
        <f t="shared" si="19"/>
        <v>16592.216</v>
      </c>
      <c r="H144" s="10">
        <f t="shared" si="17"/>
        <v>2185.3975999999993</v>
      </c>
      <c r="I144" s="18">
        <f>(H144*1000*1000/(validationRate90p*POWER(1+cpuGrowth,A144)))/(secondsPerYear/365)</f>
        <v>14.040567418831342</v>
      </c>
      <c r="K144" s="297">
        <v>29</v>
      </c>
      <c r="M144" s="17">
        <v>280</v>
      </c>
    </row>
    <row r="145" spans="1:13" x14ac:dyDescent="0.25">
      <c r="A145">
        <v>15</v>
      </c>
      <c r="B145" s="297">
        <v>34</v>
      </c>
      <c r="C145" s="10">
        <f t="shared" si="20"/>
        <v>17118.392</v>
      </c>
      <c r="D145" s="76">
        <f t="shared" si="15"/>
        <v>1072.2239999999999</v>
      </c>
      <c r="E145" s="11">
        <f t="shared" si="16"/>
        <v>9690</v>
      </c>
      <c r="F145" s="10">
        <f t="shared" si="18"/>
        <v>616.89599999999996</v>
      </c>
      <c r="G145" s="10">
        <f t="shared" si="19"/>
        <v>17573.719999999998</v>
      </c>
      <c r="H145" s="10">
        <f t="shared" si="17"/>
        <v>2374.2679999999991</v>
      </c>
      <c r="I145" s="18">
        <f>(H145*1000*1000/(validationRate90p*POWER(1+cpuGrowth,A145)))/(secondsPerYear/365)</f>
        <v>13.037612678228344</v>
      </c>
      <c r="K145" s="297">
        <v>34</v>
      </c>
      <c r="M145" s="17">
        <v>330</v>
      </c>
    </row>
    <row r="166" spans="1:13" x14ac:dyDescent="0.25">
      <c r="A166" s="5" t="s">
        <v>93</v>
      </c>
    </row>
    <row r="167" spans="1:13" x14ac:dyDescent="0.25">
      <c r="A167" s="9"/>
      <c r="B167" s="78"/>
      <c r="C167" s="86"/>
      <c r="D167" s="78"/>
      <c r="E167" s="78"/>
      <c r="F167" s="78"/>
      <c r="G167" s="78"/>
      <c r="H167" s="78"/>
      <c r="I167" s="86"/>
      <c r="J167" s="86"/>
      <c r="K167" s="78"/>
      <c r="L167" s="78"/>
      <c r="M167" s="78"/>
    </row>
    <row r="168" spans="1:13" x14ac:dyDescent="0.25">
      <c r="A168" s="80" t="s">
        <v>6</v>
      </c>
      <c r="B168" s="240" t="s">
        <v>75</v>
      </c>
      <c r="C168" s="86"/>
      <c r="D168" s="86"/>
      <c r="E168" s="86"/>
      <c r="F168" s="86"/>
      <c r="G168" s="78"/>
      <c r="H168" s="78"/>
      <c r="I168" s="86"/>
      <c r="J168" s="86"/>
      <c r="K168" s="78"/>
      <c r="L168" s="78"/>
      <c r="M168" s="78"/>
    </row>
    <row r="170" spans="1:13" x14ac:dyDescent="0.25">
      <c r="C170" s="175" t="s">
        <v>108</v>
      </c>
      <c r="E170" s="1" t="s">
        <v>29</v>
      </c>
    </row>
    <row r="171" spans="1:13" x14ac:dyDescent="0.25">
      <c r="A171" s="4" t="s">
        <v>7</v>
      </c>
      <c r="B171" s="1" t="s">
        <v>60</v>
      </c>
      <c r="C171" s="1" t="s">
        <v>192</v>
      </c>
      <c r="D171" s="1" t="s">
        <v>55</v>
      </c>
      <c r="E171" s="1" t="s">
        <v>30</v>
      </c>
    </row>
    <row r="172" spans="1:13" x14ac:dyDescent="0.25">
      <c r="A172">
        <v>0</v>
      </c>
      <c r="B172" s="99">
        <f>invSize*outgoingConnections90p</f>
        <v>288</v>
      </c>
      <c r="C172" s="99">
        <f>2*avgTrSize</f>
        <v>950</v>
      </c>
      <c r="D172" s="87">
        <f>(avgBandwidth90p*mbToGB*KBperGB*1000)*ongoingResourceRatio90p*POWER(1+bandwidthGrowth,A172)/(B172+C172)</f>
        <v>0.30736470420450329</v>
      </c>
      <c r="E172" s="185">
        <f>D172*avgTrSize*secondsPerBlock/1000/1000</f>
        <v>8.7598940698283431E-2</v>
      </c>
    </row>
    <row r="173" spans="1:13" x14ac:dyDescent="0.25">
      <c r="A173">
        <v>1</v>
      </c>
      <c r="B173" s="99">
        <f>invSize*outgoingConnections90p</f>
        <v>288</v>
      </c>
      <c r="C173" s="99">
        <f>2*avgTrSize</f>
        <v>950</v>
      </c>
      <c r="D173" s="87">
        <f>(avgBandwidth90p*mbToGB*KBperGB*1000)*ongoingResourceRatio90p*POWER(1+bandwidthGrowth,A173)/(B173+C173)</f>
        <v>0.38420588025562907</v>
      </c>
      <c r="E173" s="185">
        <f t="shared" ref="E173:E187" si="21">D173*avgTrSize*secondsPerBlock/1000/1000</f>
        <v>0.10949867587285428</v>
      </c>
    </row>
    <row r="174" spans="1:13" x14ac:dyDescent="0.25">
      <c r="A174">
        <v>2</v>
      </c>
      <c r="B174" s="99">
        <f>invSize*outgoingConnections90p</f>
        <v>288</v>
      </c>
      <c r="C174" s="99">
        <f>2*avgTrSize</f>
        <v>950</v>
      </c>
      <c r="D174" s="87">
        <f>(avgBandwidth90p*mbToGB*KBperGB*1000)*ongoingResourceRatio90p*POWER(1+bandwidthGrowth,A174)/(B174+C174)</f>
        <v>0.48025735031953637</v>
      </c>
      <c r="E174" s="185">
        <f t="shared" si="21"/>
        <v>0.13687334484106783</v>
      </c>
    </row>
    <row r="175" spans="1:13" x14ac:dyDescent="0.25">
      <c r="A175">
        <v>3</v>
      </c>
      <c r="B175" s="99">
        <f>invSize*outgoingConnections90p</f>
        <v>288</v>
      </c>
      <c r="C175" s="99">
        <f>2*avgTrSize</f>
        <v>950</v>
      </c>
      <c r="D175" s="87">
        <f>(avgBandwidth90p*mbToGB*KBperGB*1000)*ongoingResourceRatio90p*POWER(1+bandwidthGrowth,A175)/(B175+C175)</f>
        <v>0.60032168789942053</v>
      </c>
      <c r="E175" s="185">
        <f t="shared" si="21"/>
        <v>0.17109168105133485</v>
      </c>
    </row>
    <row r="176" spans="1:13" x14ac:dyDescent="0.25">
      <c r="A176">
        <v>4</v>
      </c>
      <c r="B176" s="99">
        <f>invSize*outgoingConnections90p</f>
        <v>288</v>
      </c>
      <c r="C176" s="99">
        <f>2*avgTrSize</f>
        <v>950</v>
      </c>
      <c r="D176" s="87">
        <f>(avgBandwidth90p*mbToGB*KBperGB*1000)*ongoingResourceRatio90p*POWER(1+bandwidthGrowth,A176)/(B176+C176)</f>
        <v>0.75040210987427558</v>
      </c>
      <c r="E176" s="185">
        <f t="shared" si="21"/>
        <v>0.21386460131416857</v>
      </c>
    </row>
    <row r="177" spans="1:11" x14ac:dyDescent="0.25">
      <c r="A177">
        <v>5</v>
      </c>
      <c r="B177" s="99">
        <f>invSize*outgoingConnections90p</f>
        <v>288</v>
      </c>
      <c r="C177" s="99">
        <f>2*avgTrSize</f>
        <v>950</v>
      </c>
      <c r="D177" s="87">
        <f>(avgBandwidth90p*mbToGB*KBperGB*1000)*ongoingResourceRatio90p*POWER(1+bandwidthGrowth,A177)/(B177+C177)</f>
        <v>0.9380026373428445</v>
      </c>
      <c r="E177" s="185">
        <f t="shared" si="21"/>
        <v>0.2673307516427107</v>
      </c>
    </row>
    <row r="178" spans="1:11" x14ac:dyDescent="0.25">
      <c r="A178">
        <v>6</v>
      </c>
      <c r="B178" s="99">
        <f>invSize*outgoingConnections90p</f>
        <v>288</v>
      </c>
      <c r="C178" s="99">
        <f>2*avgTrSize</f>
        <v>950</v>
      </c>
      <c r="D178" s="87">
        <f>(avgBandwidth90p*mbToGB*KBperGB*1000)*ongoingResourceRatio90p*POWER(1+bandwidthGrowth,A178)/(B178+C178)</f>
        <v>1.1725032966785556</v>
      </c>
      <c r="E178" s="185">
        <f t="shared" si="21"/>
        <v>0.3341634395533884</v>
      </c>
    </row>
    <row r="179" spans="1:11" x14ac:dyDescent="0.25">
      <c r="A179">
        <v>7</v>
      </c>
      <c r="B179" s="99">
        <f>invSize*outgoingConnections90p</f>
        <v>288</v>
      </c>
      <c r="C179" s="99">
        <f>2*avgTrSize</f>
        <v>950</v>
      </c>
      <c r="D179" s="87">
        <f>(avgBandwidth90p*mbToGB*KBperGB*1000)*ongoingResourceRatio90p*POWER(1+bandwidthGrowth,A179)/(B179+C179)</f>
        <v>1.4656291208481946</v>
      </c>
      <c r="E179" s="185">
        <f t="shared" si="21"/>
        <v>0.41770429944173548</v>
      </c>
    </row>
    <row r="180" spans="1:11" x14ac:dyDescent="0.25">
      <c r="A180">
        <v>8</v>
      </c>
      <c r="B180" s="99">
        <f>invSize*outgoingConnections90p</f>
        <v>288</v>
      </c>
      <c r="C180" s="99">
        <f>2*avgTrSize</f>
        <v>950</v>
      </c>
      <c r="D180" s="87">
        <f>(avgBandwidth90p*mbToGB*KBperGB*1000)*ongoingResourceRatio90p*POWER(1+bandwidthGrowth,A180)/(B180+C180)</f>
        <v>1.8320364010602432</v>
      </c>
      <c r="E180" s="185">
        <f t="shared" si="21"/>
        <v>0.52213037430216935</v>
      </c>
    </row>
    <row r="181" spans="1:11" x14ac:dyDescent="0.25">
      <c r="A181">
        <v>9</v>
      </c>
      <c r="B181" s="99">
        <f>invSize*outgoingConnections90p</f>
        <v>288</v>
      </c>
      <c r="C181" s="99">
        <f>2*avgTrSize</f>
        <v>950</v>
      </c>
      <c r="D181" s="87">
        <f>(avgBandwidth90p*mbToGB*KBperGB*1000)*ongoingResourceRatio90p*POWER(1+bandwidthGrowth,A181)/(B181+C181)</f>
        <v>2.290045501325304</v>
      </c>
      <c r="E181" s="185">
        <f t="shared" si="21"/>
        <v>0.65266296787771161</v>
      </c>
    </row>
    <row r="182" spans="1:11" x14ac:dyDescent="0.25">
      <c r="A182">
        <v>10</v>
      </c>
      <c r="B182" s="99">
        <f>invSize*outgoingConnections90p</f>
        <v>288</v>
      </c>
      <c r="C182" s="99">
        <f>2*avgTrSize</f>
        <v>950</v>
      </c>
      <c r="D182" s="87">
        <f>(avgBandwidth90p*mbToGB*KBperGB*1000)*ongoingResourceRatio90p*POWER(1+bandwidthGrowth,A182)/(B182+C182)</f>
        <v>2.8625568766566296</v>
      </c>
      <c r="E182" s="185">
        <f t="shared" si="21"/>
        <v>0.8158287098471394</v>
      </c>
    </row>
    <row r="183" spans="1:11" x14ac:dyDescent="0.25">
      <c r="A183">
        <v>11</v>
      </c>
      <c r="B183" s="99">
        <f>invSize*outgoingConnections90p</f>
        <v>288</v>
      </c>
      <c r="C183" s="99">
        <f>2*avgTrSize</f>
        <v>950</v>
      </c>
      <c r="D183" s="87">
        <f>(avgBandwidth90p*mbToGB*KBperGB*1000)*ongoingResourceRatio90p*POWER(1+bandwidthGrowth,A183)/(B183+C183)</f>
        <v>3.5781960958207875</v>
      </c>
      <c r="E183" s="185">
        <f t="shared" si="21"/>
        <v>1.0197858873089245</v>
      </c>
    </row>
    <row r="184" spans="1:11" x14ac:dyDescent="0.25">
      <c r="A184">
        <v>12</v>
      </c>
      <c r="B184" s="99">
        <f>invSize*outgoingConnections90p</f>
        <v>288</v>
      </c>
      <c r="C184" s="99">
        <f>2*avgTrSize</f>
        <v>950</v>
      </c>
      <c r="D184" s="87">
        <f>(avgBandwidth90p*mbToGB*KBperGB*1000)*ongoingResourceRatio90p*POWER(1+bandwidthGrowth,A184)/(B184+C184)</f>
        <v>4.4727451197759844</v>
      </c>
      <c r="E184" s="185">
        <f t="shared" si="21"/>
        <v>1.2747323591361555</v>
      </c>
    </row>
    <row r="185" spans="1:11" x14ac:dyDescent="0.25">
      <c r="A185">
        <v>13</v>
      </c>
      <c r="B185" s="99">
        <f>invSize*outgoingConnections90p</f>
        <v>288</v>
      </c>
      <c r="C185" s="99">
        <f>2*avgTrSize</f>
        <v>950</v>
      </c>
      <c r="D185" s="87">
        <f>(avgBandwidth90p*mbToGB*KBperGB*1000)*ongoingResourceRatio90p*POWER(1+bandwidthGrowth,A185)/(B185+C185)</f>
        <v>5.5909313997199801</v>
      </c>
      <c r="E185" s="185">
        <f t="shared" si="21"/>
        <v>1.5934154489201942</v>
      </c>
    </row>
    <row r="186" spans="1:11" x14ac:dyDescent="0.25">
      <c r="A186">
        <v>14</v>
      </c>
      <c r="B186" s="99">
        <f>invSize*outgoingConnections90p</f>
        <v>288</v>
      </c>
      <c r="C186" s="99">
        <f>2*avgTrSize</f>
        <v>950</v>
      </c>
      <c r="D186" s="87">
        <f>(avgBandwidth90p*mbToGB*KBperGB*1000)*ongoingResourceRatio90p*POWER(1+bandwidthGrowth,A186)/(B186+C186)</f>
        <v>6.9886642496499753</v>
      </c>
      <c r="E186" s="185">
        <f t="shared" si="21"/>
        <v>1.991769311150243</v>
      </c>
    </row>
    <row r="187" spans="1:11" x14ac:dyDescent="0.25">
      <c r="A187">
        <v>15</v>
      </c>
      <c r="B187" s="99">
        <f>invSize*outgoingConnections90p</f>
        <v>288</v>
      </c>
      <c r="C187" s="99">
        <f>2*avgTrSize</f>
        <v>950</v>
      </c>
      <c r="D187" s="87">
        <f>(avgBandwidth90p*mbToGB*KBperGB*1000)*ongoingResourceRatio90p*POWER(1+bandwidthGrowth,A187)/(B187+C187)</f>
        <v>8.7358303120624683</v>
      </c>
      <c r="E187" s="185">
        <f t="shared" si="21"/>
        <v>2.4897116389378033</v>
      </c>
    </row>
    <row r="188" spans="1:11" s="78" customFormat="1" x14ac:dyDescent="0.25">
      <c r="B188"/>
      <c r="C188"/>
      <c r="D188"/>
      <c r="E188"/>
      <c r="F188"/>
      <c r="G188"/>
      <c r="H188"/>
      <c r="I188"/>
      <c r="J188"/>
      <c r="K188"/>
    </row>
    <row r="189" spans="1:11" s="78" customFormat="1" x14ac:dyDescent="0.25">
      <c r="A189" s="83" t="s">
        <v>94</v>
      </c>
    </row>
    <row r="190" spans="1:11" s="78" customFormat="1" x14ac:dyDescent="0.25">
      <c r="A190" s="83"/>
      <c r="I190" s="86"/>
      <c r="J190" s="86"/>
    </row>
    <row r="191" spans="1:11" s="78" customFormat="1" x14ac:dyDescent="0.25">
      <c r="A191" s="80" t="s">
        <v>6</v>
      </c>
      <c r="B191" s="80" t="s">
        <v>76</v>
      </c>
      <c r="C191" s="86"/>
      <c r="D191" s="86"/>
      <c r="E191" s="86"/>
      <c r="F191" s="86"/>
      <c r="I191" s="86"/>
      <c r="J191" s="86"/>
    </row>
    <row r="192" spans="1:11" s="78" customFormat="1" x14ac:dyDescent="0.25"/>
    <row r="193" spans="1:5" s="78" customFormat="1" x14ac:dyDescent="0.25">
      <c r="E193" s="79" t="s">
        <v>29</v>
      </c>
    </row>
    <row r="194" spans="1:5" s="78" customFormat="1" x14ac:dyDescent="0.25">
      <c r="A194" s="82" t="s">
        <v>7</v>
      </c>
      <c r="B194" s="79" t="s">
        <v>60</v>
      </c>
      <c r="C194" s="79" t="s">
        <v>61</v>
      </c>
      <c r="D194" s="79" t="s">
        <v>55</v>
      </c>
      <c r="E194" s="79" t="s">
        <v>30</v>
      </c>
    </row>
    <row r="195" spans="1:5" s="78" customFormat="1" x14ac:dyDescent="0.25">
      <c r="A195" s="78">
        <v>0</v>
      </c>
      <c r="B195" s="99">
        <f>invSize*(outgoingConnections10p+minPublicNodeConnections)</f>
        <v>3168</v>
      </c>
      <c r="C195" s="99">
        <f t="shared" ref="C195:C210" si="22">2*avgTrSize</f>
        <v>950</v>
      </c>
      <c r="D195" s="81">
        <f>(avgBandwidth10p*mbToGB*KBperGB*1000)*ongoingResourceRatio10p*POWER(1+bandwidthGrowth,A195)/(B195+C195)</f>
        <v>9.2403473483529623</v>
      </c>
      <c r="E195" s="88">
        <f t="shared" ref="E195:E210" si="23">D195*avgTrSize*secondsPerBlock/1000/1000</f>
        <v>2.6334989942805942</v>
      </c>
    </row>
    <row r="196" spans="1:5" s="78" customFormat="1" x14ac:dyDescent="0.25">
      <c r="A196" s="78">
        <v>1</v>
      </c>
      <c r="B196" s="99">
        <f>invSize*(outgoingConnections10p+minPublicNodeConnections)</f>
        <v>3168</v>
      </c>
      <c r="C196" s="99">
        <f t="shared" si="22"/>
        <v>950</v>
      </c>
      <c r="D196" s="81">
        <f>(avgBandwidth10p*mbToGB*KBperGB*1000)*ongoingResourceRatio10p*POWER(1+bandwidthGrowth,A196)/(B196+C196)</f>
        <v>11.550434185441203</v>
      </c>
      <c r="E196" s="88">
        <f t="shared" si="23"/>
        <v>3.291873742850743</v>
      </c>
    </row>
    <row r="197" spans="1:5" s="78" customFormat="1" x14ac:dyDescent="0.25">
      <c r="A197" s="78">
        <v>2</v>
      </c>
      <c r="B197" s="99">
        <f>invSize*(outgoingConnections10p+minPublicNodeConnections)</f>
        <v>3168</v>
      </c>
      <c r="C197" s="99">
        <f t="shared" si="22"/>
        <v>950</v>
      </c>
      <c r="D197" s="81">
        <f>(avgBandwidth10p*mbToGB*KBperGB*1000)*ongoingResourceRatio10p*POWER(1+bandwidthGrowth,A197)/(B197+C197)</f>
        <v>14.438042731801504</v>
      </c>
      <c r="E197" s="88">
        <f t="shared" si="23"/>
        <v>4.1148421785634284</v>
      </c>
    </row>
    <row r="198" spans="1:5" s="78" customFormat="1" x14ac:dyDescent="0.25">
      <c r="A198" s="78">
        <v>3</v>
      </c>
      <c r="B198" s="99">
        <f>invSize*(outgoingConnections10p+minPublicNodeConnections)</f>
        <v>3168</v>
      </c>
      <c r="C198" s="99">
        <f t="shared" si="22"/>
        <v>950</v>
      </c>
      <c r="D198" s="81">
        <f>(avgBandwidth10p*mbToGB*KBperGB*1000)*ongoingResourceRatio10p*POWER(1+bandwidthGrowth,A198)/(B198+C198)</f>
        <v>18.047553414751878</v>
      </c>
      <c r="E198" s="88">
        <f t="shared" si="23"/>
        <v>5.1435527232042855</v>
      </c>
    </row>
    <row r="199" spans="1:5" s="78" customFormat="1" x14ac:dyDescent="0.25">
      <c r="A199" s="78">
        <v>4</v>
      </c>
      <c r="B199" s="99">
        <f>invSize*(outgoingConnections10p+minPublicNodeConnections)</f>
        <v>3168</v>
      </c>
      <c r="C199" s="99">
        <f t="shared" si="22"/>
        <v>950</v>
      </c>
      <c r="D199" s="81">
        <f>(avgBandwidth10p*mbToGB*KBperGB*1000)*ongoingResourceRatio10p*POWER(1+bandwidthGrowth,A199)/(B199+C199)</f>
        <v>22.55944176843985</v>
      </c>
      <c r="E199" s="88">
        <f t="shared" si="23"/>
        <v>6.4294409040053573</v>
      </c>
    </row>
    <row r="200" spans="1:5" s="78" customFormat="1" x14ac:dyDescent="0.25">
      <c r="A200" s="78">
        <v>5</v>
      </c>
      <c r="B200" s="99">
        <f>invSize*(outgoingConnections10p+minPublicNodeConnections)</f>
        <v>3168</v>
      </c>
      <c r="C200" s="99">
        <f t="shared" si="22"/>
        <v>950</v>
      </c>
      <c r="D200" s="81">
        <f>(avgBandwidth10p*mbToGB*KBperGB*1000)*ongoingResourceRatio10p*POWER(1+bandwidthGrowth,A200)/(B200+C200)</f>
        <v>28.199302210549813</v>
      </c>
      <c r="E200" s="88">
        <f t="shared" si="23"/>
        <v>8.0368011300066975</v>
      </c>
    </row>
    <row r="201" spans="1:5" s="78" customFormat="1" x14ac:dyDescent="0.25">
      <c r="A201" s="78">
        <v>6</v>
      </c>
      <c r="B201" s="99">
        <f>invSize*(outgoingConnections10p+minPublicNodeConnections)</f>
        <v>3168</v>
      </c>
      <c r="C201" s="99">
        <f t="shared" si="22"/>
        <v>950</v>
      </c>
      <c r="D201" s="81">
        <f>(avgBandwidth10p*mbToGB*KBperGB*1000)*ongoingResourceRatio10p*POWER(1+bandwidthGrowth,A201)/(B201+C201)</f>
        <v>35.249127763187268</v>
      </c>
      <c r="E201" s="88">
        <f t="shared" si="23"/>
        <v>10.046001412508371</v>
      </c>
    </row>
    <row r="202" spans="1:5" s="78" customFormat="1" x14ac:dyDescent="0.25">
      <c r="A202" s="78">
        <v>7</v>
      </c>
      <c r="B202" s="99">
        <f>invSize*(outgoingConnections10p+minPublicNodeConnections)</f>
        <v>3168</v>
      </c>
      <c r="C202" s="99">
        <f t="shared" si="22"/>
        <v>950</v>
      </c>
      <c r="D202" s="81">
        <f>(avgBandwidth10p*mbToGB*KBperGB*1000)*ongoingResourceRatio10p*POWER(1+bandwidthGrowth,A202)/(B202+C202)</f>
        <v>44.061409703984083</v>
      </c>
      <c r="E202" s="88">
        <f t="shared" si="23"/>
        <v>12.557501765635465</v>
      </c>
    </row>
    <row r="203" spans="1:5" s="78" customFormat="1" x14ac:dyDescent="0.25">
      <c r="A203" s="78">
        <v>8</v>
      </c>
      <c r="B203" s="99">
        <f>invSize*(outgoingConnections10p+minPublicNodeConnections)</f>
        <v>3168</v>
      </c>
      <c r="C203" s="99">
        <f t="shared" si="22"/>
        <v>950</v>
      </c>
      <c r="D203" s="81">
        <f>(avgBandwidth10p*mbToGB*KBperGB*1000)*ongoingResourceRatio10p*POWER(1+bandwidthGrowth,A203)/(B203+C203)</f>
        <v>55.076762129980104</v>
      </c>
      <c r="E203" s="88">
        <f t="shared" si="23"/>
        <v>15.696877207044331</v>
      </c>
    </row>
    <row r="204" spans="1:5" s="78" customFormat="1" x14ac:dyDescent="0.25">
      <c r="A204" s="78">
        <v>9</v>
      </c>
      <c r="B204" s="99">
        <f>invSize*(outgoingConnections10p+minPublicNodeConnections)</f>
        <v>3168</v>
      </c>
      <c r="C204" s="99">
        <f t="shared" si="22"/>
        <v>950</v>
      </c>
      <c r="D204" s="81">
        <f>(avgBandwidth10p*mbToGB*KBperGB*1000)*ongoingResourceRatio10p*POWER(1+bandwidthGrowth,A204)/(B204+C204)</f>
        <v>68.845952662475128</v>
      </c>
      <c r="E204" s="88">
        <f t="shared" si="23"/>
        <v>19.621096508805415</v>
      </c>
    </row>
    <row r="205" spans="1:5" s="78" customFormat="1" x14ac:dyDescent="0.25">
      <c r="A205" s="78">
        <v>10</v>
      </c>
      <c r="B205" s="99">
        <f>invSize*(outgoingConnections10p+minPublicNodeConnections)</f>
        <v>3168</v>
      </c>
      <c r="C205" s="99">
        <f t="shared" si="22"/>
        <v>950</v>
      </c>
      <c r="D205" s="81">
        <f>(avgBandwidth10p*mbToGB*KBperGB*1000)*ongoingResourceRatio10p*POWER(1+bandwidthGrowth,A205)/(B205+C205)</f>
        <v>86.057440828093917</v>
      </c>
      <c r="E205" s="88">
        <f t="shared" si="23"/>
        <v>24.526370636006771</v>
      </c>
    </row>
    <row r="206" spans="1:5" s="78" customFormat="1" x14ac:dyDescent="0.25">
      <c r="A206" s="78">
        <v>11</v>
      </c>
      <c r="B206" s="99">
        <f>invSize*(outgoingConnections10p+minPublicNodeConnections)</f>
        <v>3168</v>
      </c>
      <c r="C206" s="99">
        <f t="shared" si="22"/>
        <v>950</v>
      </c>
      <c r="D206" s="81">
        <f>(avgBandwidth10p*mbToGB*KBperGB*1000)*ongoingResourceRatio10p*POWER(1+bandwidthGrowth,A206)/(B206+C206)</f>
        <v>107.57180103511739</v>
      </c>
      <c r="E206" s="88">
        <f t="shared" si="23"/>
        <v>30.657963295008461</v>
      </c>
    </row>
    <row r="207" spans="1:5" s="78" customFormat="1" x14ac:dyDescent="0.25">
      <c r="A207" s="78">
        <v>12</v>
      </c>
      <c r="B207" s="99">
        <f>invSize*(outgoingConnections10p+minPublicNodeConnections)</f>
        <v>3168</v>
      </c>
      <c r="C207" s="99">
        <f t="shared" si="22"/>
        <v>950</v>
      </c>
      <c r="D207" s="81">
        <f>(avgBandwidth10p*mbToGB*KBperGB*1000)*ongoingResourceRatio10p*POWER(1+bandwidthGrowth,A207)/(B207+C207)</f>
        <v>134.46475129389674</v>
      </c>
      <c r="E207" s="88">
        <f t="shared" si="23"/>
        <v>38.322454118760575</v>
      </c>
    </row>
    <row r="208" spans="1:5" s="78" customFormat="1" x14ac:dyDescent="0.25">
      <c r="A208" s="78">
        <v>13</v>
      </c>
      <c r="B208" s="99">
        <f>invSize*(outgoingConnections10p+minPublicNodeConnections)</f>
        <v>3168</v>
      </c>
      <c r="C208" s="99">
        <f t="shared" si="22"/>
        <v>950</v>
      </c>
      <c r="D208" s="81">
        <f>(avgBandwidth10p*mbToGB*KBperGB*1000)*ongoingResourceRatio10p*POWER(1+bandwidthGrowth,A208)/(B208+C208)</f>
        <v>168.08093911737092</v>
      </c>
      <c r="E208" s="88">
        <f t="shared" si="23"/>
        <v>47.903067648450715</v>
      </c>
    </row>
    <row r="209" spans="1:13" s="78" customFormat="1" x14ac:dyDescent="0.25">
      <c r="A209" s="78">
        <v>14</v>
      </c>
      <c r="B209" s="99">
        <f>invSize*(outgoingConnections10p+minPublicNodeConnections)</f>
        <v>3168</v>
      </c>
      <c r="C209" s="99">
        <f t="shared" si="22"/>
        <v>950</v>
      </c>
      <c r="D209" s="81">
        <f>(avgBandwidth10p*mbToGB*KBperGB*1000)*ongoingResourceRatio10p*POWER(1+bandwidthGrowth,A209)/(B209+C209)</f>
        <v>210.10117389671365</v>
      </c>
      <c r="E209" s="88">
        <f t="shared" si="23"/>
        <v>59.878834560563391</v>
      </c>
    </row>
    <row r="210" spans="1:13" s="78" customFormat="1" x14ac:dyDescent="0.25">
      <c r="A210" s="78">
        <v>15</v>
      </c>
      <c r="B210" s="99">
        <f>invSize*(outgoingConnections10p+minPublicNodeConnections)</f>
        <v>3168</v>
      </c>
      <c r="C210" s="99">
        <f t="shared" si="22"/>
        <v>950</v>
      </c>
      <c r="D210" s="81">
        <f>(avgBandwidth10p*mbToGB*KBperGB*1000)*ongoingResourceRatio10p*POWER(1+bandwidthGrowth,A210)/(B210+C210)</f>
        <v>262.62646737089204</v>
      </c>
      <c r="E210" s="88">
        <f t="shared" si="23"/>
        <v>74.848543200704228</v>
      </c>
    </row>
    <row r="212" spans="1:13" x14ac:dyDescent="0.25">
      <c r="A212" s="9" t="s">
        <v>51</v>
      </c>
    </row>
    <row r="213" spans="1:13" x14ac:dyDescent="0.25">
      <c r="A213" s="9"/>
      <c r="B213" s="78"/>
      <c r="C213" s="86"/>
      <c r="D213" s="78"/>
      <c r="E213" s="78"/>
      <c r="F213" s="78"/>
      <c r="G213" s="78"/>
      <c r="H213" s="78"/>
      <c r="I213" s="86"/>
      <c r="J213" s="86"/>
      <c r="K213" s="78"/>
      <c r="L213" s="78"/>
      <c r="M213" s="78"/>
    </row>
    <row r="214" spans="1:13" x14ac:dyDescent="0.25">
      <c r="A214" s="80" t="s">
        <v>6</v>
      </c>
      <c r="B214" s="240" t="s">
        <v>75</v>
      </c>
      <c r="C214" s="86"/>
      <c r="D214" s="86"/>
      <c r="E214" s="86"/>
      <c r="F214" s="86"/>
      <c r="G214" s="78"/>
      <c r="H214" s="78"/>
      <c r="I214" s="86"/>
      <c r="J214" s="86"/>
      <c r="K214" s="78"/>
      <c r="L214" s="78"/>
      <c r="M214" s="78"/>
    </row>
    <row r="216" spans="1:13" x14ac:dyDescent="0.25">
      <c r="C216" s="1" t="s">
        <v>28</v>
      </c>
    </row>
    <row r="217" spans="1:13" x14ac:dyDescent="0.25">
      <c r="A217" s="4" t="s">
        <v>7</v>
      </c>
      <c r="B217" s="1" t="s">
        <v>52</v>
      </c>
      <c r="C217" s="1" t="s">
        <v>30</v>
      </c>
      <c r="F217" s="1"/>
    </row>
    <row r="218" spans="1:13" x14ac:dyDescent="0.25">
      <c r="A218">
        <v>0</v>
      </c>
      <c r="B218" s="35">
        <f>validationRate90p*ongoingResourceRatio90p*POWER(1+cpuGrowth,A218)</f>
        <v>20</v>
      </c>
      <c r="C218" s="34">
        <f t="shared" ref="C218:C233" si="24">B218*secondsPerBlock*avgTrSize/1000/1000</f>
        <v>5.7</v>
      </c>
      <c r="F218" s="1"/>
    </row>
    <row r="219" spans="1:13" x14ac:dyDescent="0.25">
      <c r="A219">
        <v>1</v>
      </c>
      <c r="B219" s="35">
        <f>validationRate90p*ongoingResourceRatio90p*POWER(1+cpuGrowth,A219)</f>
        <v>23.4</v>
      </c>
      <c r="C219" s="34">
        <f t="shared" si="24"/>
        <v>6.6689999999999996</v>
      </c>
      <c r="F219" s="7"/>
    </row>
    <row r="220" spans="1:13" x14ac:dyDescent="0.25">
      <c r="A220">
        <v>2</v>
      </c>
      <c r="B220" s="35">
        <f>validationRate90p*ongoingResourceRatio90p*POWER(1+cpuGrowth,A220)</f>
        <v>27.377999999999997</v>
      </c>
      <c r="C220" s="34">
        <f t="shared" si="24"/>
        <v>7.8027299999999995</v>
      </c>
      <c r="F220" s="7"/>
      <c r="H220" s="1"/>
    </row>
    <row r="221" spans="1:13" x14ac:dyDescent="0.25">
      <c r="A221">
        <v>3</v>
      </c>
      <c r="B221" s="35">
        <f>validationRate90p*ongoingResourceRatio90p*POWER(1+cpuGrowth,A221)</f>
        <v>32.032259999999994</v>
      </c>
      <c r="C221" s="34">
        <f t="shared" si="24"/>
        <v>9.1291940999999976</v>
      </c>
      <c r="F221" s="7"/>
    </row>
    <row r="222" spans="1:13" x14ac:dyDescent="0.25">
      <c r="A222">
        <v>4</v>
      </c>
      <c r="B222" s="35">
        <f>validationRate90p*ongoingResourceRatio90p*POWER(1+cpuGrowth,A222)</f>
        <v>37.477744199999989</v>
      </c>
      <c r="C222" s="34">
        <f t="shared" si="24"/>
        <v>10.681157096999998</v>
      </c>
      <c r="F222" s="7"/>
    </row>
    <row r="223" spans="1:13" x14ac:dyDescent="0.25">
      <c r="A223">
        <v>5</v>
      </c>
      <c r="B223" s="35">
        <f>validationRate90p*ongoingResourceRatio90p*POWER(1+cpuGrowth,A223)</f>
        <v>43.848960713999986</v>
      </c>
      <c r="C223" s="34">
        <f t="shared" si="24"/>
        <v>12.496953803489996</v>
      </c>
      <c r="F223" s="7"/>
    </row>
    <row r="224" spans="1:13" x14ac:dyDescent="0.25">
      <c r="A224">
        <v>6</v>
      </c>
      <c r="B224" s="35">
        <f>validationRate90p*ongoingResourceRatio90p*POWER(1+cpuGrowth,A224)</f>
        <v>51.303284035379981</v>
      </c>
      <c r="C224" s="34">
        <f t="shared" si="24"/>
        <v>14.621435950083294</v>
      </c>
      <c r="F224" s="7"/>
    </row>
    <row r="225" spans="1:13" x14ac:dyDescent="0.25">
      <c r="A225">
        <v>7</v>
      </c>
      <c r="B225" s="35">
        <f>validationRate90p*ongoingResourceRatio90p*POWER(1+cpuGrowth,A225)</f>
        <v>60.024842321394573</v>
      </c>
      <c r="C225" s="34">
        <f t="shared" si="24"/>
        <v>17.107080061597451</v>
      </c>
      <c r="F225" s="12"/>
    </row>
    <row r="226" spans="1:13" x14ac:dyDescent="0.25">
      <c r="A226">
        <v>8</v>
      </c>
      <c r="B226" s="35">
        <f>validationRate90p*ongoingResourceRatio90p*POWER(1+cpuGrowth,A226)</f>
        <v>70.229065516031639</v>
      </c>
      <c r="C226" s="34">
        <f t="shared" si="24"/>
        <v>20.015283672069017</v>
      </c>
      <c r="F226" s="7"/>
    </row>
    <row r="227" spans="1:13" x14ac:dyDescent="0.25">
      <c r="A227">
        <v>9</v>
      </c>
      <c r="B227" s="35">
        <f>validationRate90p*ongoingResourceRatio90p*POWER(1+cpuGrowth,A227)</f>
        <v>82.168006653757004</v>
      </c>
      <c r="C227" s="34">
        <f t="shared" si="24"/>
        <v>23.417881896320743</v>
      </c>
      <c r="F227" s="7"/>
    </row>
    <row r="228" spans="1:13" x14ac:dyDescent="0.25">
      <c r="A228">
        <v>10</v>
      </c>
      <c r="B228" s="35">
        <f>validationRate90p*ongoingResourceRatio90p*POWER(1+cpuGrowth,A228)</f>
        <v>96.136567784895703</v>
      </c>
      <c r="C228" s="34">
        <f t="shared" si="24"/>
        <v>27.398921818695278</v>
      </c>
      <c r="F228" s="7"/>
    </row>
    <row r="229" spans="1:13" x14ac:dyDescent="0.25">
      <c r="A229">
        <v>11</v>
      </c>
      <c r="B229" s="35">
        <f>validationRate90p*ongoingResourceRatio90p*POWER(1+cpuGrowth,A229)</f>
        <v>112.47978430832796</v>
      </c>
      <c r="C229" s="34">
        <f t="shared" si="24"/>
        <v>32.05673852787347</v>
      </c>
      <c r="F229" s="7"/>
    </row>
    <row r="230" spans="1:13" x14ac:dyDescent="0.25">
      <c r="A230">
        <v>12</v>
      </c>
      <c r="B230" s="35">
        <f>validationRate90p*ongoingResourceRatio90p*POWER(1+cpuGrowth,A230)</f>
        <v>131.60134764074368</v>
      </c>
      <c r="C230" s="34">
        <f t="shared" si="24"/>
        <v>37.506384077611948</v>
      </c>
      <c r="F230" s="7"/>
    </row>
    <row r="231" spans="1:13" x14ac:dyDescent="0.25">
      <c r="A231">
        <v>13</v>
      </c>
      <c r="B231" s="35">
        <f>validationRate90p*ongoingResourceRatio90p*POWER(1+cpuGrowth,A231)</f>
        <v>153.97357673967011</v>
      </c>
      <c r="C231" s="34">
        <f t="shared" si="24"/>
        <v>43.882469370805978</v>
      </c>
      <c r="F231" s="7"/>
    </row>
    <row r="232" spans="1:13" x14ac:dyDescent="0.25">
      <c r="A232">
        <v>14</v>
      </c>
      <c r="B232" s="35">
        <f>validationRate90p*ongoingResourceRatio90p*POWER(1+cpuGrowth,A232)</f>
        <v>180.14908478541403</v>
      </c>
      <c r="C232" s="34">
        <f t="shared" si="24"/>
        <v>51.342489163842998</v>
      </c>
      <c r="F232" s="7"/>
    </row>
    <row r="233" spans="1:13" x14ac:dyDescent="0.25">
      <c r="A233">
        <v>15</v>
      </c>
      <c r="B233" s="35">
        <f>validationRate90p*ongoingResourceRatio90p*POWER(1+cpuGrowth,A233)</f>
        <v>210.7744291989344</v>
      </c>
      <c r="C233" s="34">
        <f t="shared" si="24"/>
        <v>60.070712321696298</v>
      </c>
      <c r="F233" s="7"/>
    </row>
    <row r="235" spans="1:13" x14ac:dyDescent="0.25">
      <c r="A235" s="9" t="s">
        <v>72</v>
      </c>
    </row>
    <row r="236" spans="1:13" x14ac:dyDescent="0.25">
      <c r="A236" s="9"/>
      <c r="B236" s="78"/>
      <c r="C236" s="86"/>
      <c r="D236" s="78"/>
      <c r="E236" s="78"/>
      <c r="F236" s="78"/>
      <c r="G236" s="78"/>
      <c r="H236" s="78"/>
      <c r="I236" s="86"/>
      <c r="J236" s="86"/>
      <c r="K236" s="78"/>
      <c r="L236" s="78"/>
      <c r="M236" s="78"/>
    </row>
    <row r="237" spans="1:13" x14ac:dyDescent="0.25">
      <c r="A237" s="80" t="s">
        <v>6</v>
      </c>
      <c r="B237" s="240" t="s">
        <v>75</v>
      </c>
      <c r="C237" s="86"/>
      <c r="D237" s="86"/>
      <c r="E237" s="86"/>
      <c r="F237" s="86"/>
      <c r="G237" s="78"/>
      <c r="H237" s="78"/>
      <c r="I237" s="86"/>
      <c r="J237" s="86"/>
      <c r="K237" s="78"/>
      <c r="L237" s="78"/>
      <c r="M237" s="78"/>
    </row>
    <row r="239" spans="1:13" x14ac:dyDescent="0.25">
      <c r="B239" s="1" t="s">
        <v>29</v>
      </c>
      <c r="C239" s="1" t="s">
        <v>43</v>
      </c>
      <c r="E239" s="1"/>
      <c r="F239" s="1"/>
      <c r="G239" s="1"/>
    </row>
    <row r="240" spans="1:13" x14ac:dyDescent="0.25">
      <c r="A240" s="4" t="s">
        <v>7</v>
      </c>
      <c r="B240" s="1" t="s">
        <v>33</v>
      </c>
      <c r="C240" s="1" t="s">
        <v>33</v>
      </c>
      <c r="E240" s="1"/>
      <c r="F240" s="1"/>
      <c r="G240" s="1"/>
      <c r="H240" s="1"/>
    </row>
    <row r="241" spans="1:8" x14ac:dyDescent="0.25">
      <c r="A241">
        <v>0</v>
      </c>
      <c r="B241" s="7">
        <f>disk90p*ongoingResourceRatio90p*POWER(1+diskGrowth, A241)</f>
        <v>25</v>
      </c>
      <c r="C241" s="33">
        <f xml:space="preserve"> utxoSize</f>
        <v>3</v>
      </c>
      <c r="E241" s="7"/>
      <c r="F241" s="48"/>
      <c r="G241" s="49"/>
      <c r="H241" s="49"/>
    </row>
    <row r="242" spans="1:8" x14ac:dyDescent="0.25">
      <c r="A242">
        <v>1</v>
      </c>
      <c r="B242" s="7">
        <f>disk90p*ongoingResourceRatio90p*POWER(1+diskGrowth, A242)</f>
        <v>31.25</v>
      </c>
      <c r="C242" s="48">
        <f xml:space="preserve"> C241 + MIN(C241*utxoGrowth, curMaxBlocksize*secondsPerYear/secondsPerBlock/KBperGB)</f>
        <v>4.5</v>
      </c>
      <c r="E242" s="7"/>
      <c r="F242" s="7"/>
      <c r="G242" s="11"/>
      <c r="H242" s="6"/>
    </row>
    <row r="243" spans="1:8" x14ac:dyDescent="0.25">
      <c r="A243">
        <v>2</v>
      </c>
      <c r="B243" s="7">
        <f>disk90p*ongoingResourceRatio90p*POWER(1+diskGrowth, A243)</f>
        <v>39.0625</v>
      </c>
      <c r="C243" s="48">
        <f xml:space="preserve"> C242 + MIN(C242*utxoGrowth, curMaxBlocksize*secondsPerYear/secondsPerBlock/KBperGB)</f>
        <v>6.75</v>
      </c>
      <c r="E243" s="7"/>
      <c r="F243" s="7"/>
      <c r="G243" s="11"/>
      <c r="H243" s="6"/>
    </row>
    <row r="244" spans="1:8" x14ac:dyDescent="0.25">
      <c r="A244">
        <v>3</v>
      </c>
      <c r="B244" s="7">
        <f>disk90p*ongoingResourceRatio90p*POWER(1+diskGrowth, A244)</f>
        <v>48.828125</v>
      </c>
      <c r="C244" s="48">
        <f t="shared" ref="C244:C256" si="25" xml:space="preserve"> C243 + MIN(C243*utxoGrowth, curMaxBlocksize*secondsPerYear/secondsPerBlock/KBperGB)</f>
        <v>10.125</v>
      </c>
      <c r="E244" s="7"/>
      <c r="F244" s="7"/>
      <c r="G244" s="11"/>
      <c r="H244" s="6"/>
    </row>
    <row r="245" spans="1:8" x14ac:dyDescent="0.25">
      <c r="A245">
        <v>4</v>
      </c>
      <c r="B245" s="7">
        <f>disk90p*ongoingResourceRatio90p*POWER(1+diskGrowth, A245)</f>
        <v>61.03515625</v>
      </c>
      <c r="C245" s="48">
        <f t="shared" si="25"/>
        <v>15.1875</v>
      </c>
      <c r="E245" s="7"/>
      <c r="F245" s="7"/>
      <c r="G245" s="11"/>
      <c r="H245" s="6"/>
    </row>
    <row r="246" spans="1:8" x14ac:dyDescent="0.25">
      <c r="A246">
        <v>5</v>
      </c>
      <c r="B246" s="7">
        <f>disk90p*ongoingResourceRatio90p*POWER(1+diskGrowth, A246)</f>
        <v>76.2939453125</v>
      </c>
      <c r="C246" s="48">
        <f t="shared" si="25"/>
        <v>22.78125</v>
      </c>
      <c r="E246" s="7"/>
      <c r="F246" s="7"/>
      <c r="G246" s="11"/>
      <c r="H246" s="6"/>
    </row>
    <row r="247" spans="1:8" x14ac:dyDescent="0.25">
      <c r="A247">
        <v>6</v>
      </c>
      <c r="B247" s="7">
        <f>disk90p*ongoingResourceRatio90p*POWER(1+diskGrowth, A247)</f>
        <v>95.367431640625</v>
      </c>
      <c r="C247" s="48">
        <f t="shared" si="25"/>
        <v>34.171875</v>
      </c>
      <c r="E247" s="7"/>
      <c r="F247" s="7"/>
      <c r="G247" s="11"/>
      <c r="H247" s="6"/>
    </row>
    <row r="248" spans="1:8" x14ac:dyDescent="0.25">
      <c r="A248">
        <v>7</v>
      </c>
      <c r="B248" s="7">
        <f>disk90p*ongoingResourceRatio90p*POWER(1+diskGrowth, A248)</f>
        <v>119.20928955078125</v>
      </c>
      <c r="C248" s="48">
        <f t="shared" si="25"/>
        <v>51.2578125</v>
      </c>
      <c r="E248" s="7"/>
      <c r="F248" s="7"/>
      <c r="G248" s="11"/>
      <c r="H248" s="6"/>
    </row>
    <row r="249" spans="1:8" x14ac:dyDescent="0.25">
      <c r="A249">
        <v>8</v>
      </c>
      <c r="B249" s="7">
        <f>disk90p*ongoingResourceRatio90p*POWER(1+diskGrowth, A249)</f>
        <v>149.01161193847656</v>
      </c>
      <c r="C249" s="48">
        <f t="shared" si="25"/>
        <v>76.88671875</v>
      </c>
      <c r="E249" s="7"/>
      <c r="F249" s="7"/>
      <c r="G249" s="11"/>
      <c r="H249" s="6"/>
    </row>
    <row r="250" spans="1:8" x14ac:dyDescent="0.25">
      <c r="A250">
        <v>9</v>
      </c>
      <c r="B250" s="7">
        <f>disk90p*ongoingResourceRatio90p*POWER(1+diskGrowth, A250)</f>
        <v>186.2645149230957</v>
      </c>
      <c r="C250" s="48">
        <f t="shared" si="25"/>
        <v>115.330078125</v>
      </c>
      <c r="E250" s="7"/>
      <c r="F250" s="7"/>
      <c r="G250" s="11"/>
      <c r="H250" s="6"/>
    </row>
    <row r="251" spans="1:8" x14ac:dyDescent="0.25">
      <c r="A251">
        <v>10</v>
      </c>
      <c r="B251" s="7">
        <f>disk90p*ongoingResourceRatio90p*POWER(1+diskGrowth, A251)</f>
        <v>232.83064365386963</v>
      </c>
      <c r="C251" s="48">
        <f t="shared" si="25"/>
        <v>172.9951171875</v>
      </c>
      <c r="E251" s="7"/>
      <c r="F251" s="7"/>
      <c r="G251" s="11"/>
      <c r="H251" s="6"/>
    </row>
    <row r="252" spans="1:8" x14ac:dyDescent="0.25">
      <c r="A252">
        <v>11</v>
      </c>
      <c r="B252" s="7">
        <f>disk90p*ongoingResourceRatio90p*POWER(1+diskGrowth, A252)</f>
        <v>291.03830456733704</v>
      </c>
      <c r="C252" s="48">
        <f t="shared" si="25"/>
        <v>259.49267578125</v>
      </c>
      <c r="E252" s="7"/>
      <c r="F252" s="7"/>
      <c r="G252" s="11"/>
      <c r="H252" s="6"/>
    </row>
    <row r="253" spans="1:8" x14ac:dyDescent="0.25">
      <c r="A253">
        <v>12</v>
      </c>
      <c r="B253" s="7">
        <f>disk90p*ongoingResourceRatio90p*POWER(1+diskGrowth, A253)</f>
        <v>363.7978807091713</v>
      </c>
      <c r="C253" s="48">
        <f t="shared" si="25"/>
        <v>364.61267578125</v>
      </c>
      <c r="E253" s="7"/>
      <c r="F253" s="7"/>
      <c r="G253" s="11"/>
      <c r="H253" s="6"/>
    </row>
    <row r="254" spans="1:8" x14ac:dyDescent="0.25">
      <c r="A254">
        <v>13</v>
      </c>
      <c r="B254" s="7">
        <f>disk90p*ongoingResourceRatio90p*POWER(1+diskGrowth, A254)</f>
        <v>454.74735088646412</v>
      </c>
      <c r="C254" s="48">
        <f t="shared" si="25"/>
        <v>469.73267578125001</v>
      </c>
      <c r="E254" s="7"/>
      <c r="F254" s="7"/>
      <c r="G254" s="11"/>
      <c r="H254" s="6"/>
    </row>
    <row r="255" spans="1:8" x14ac:dyDescent="0.25">
      <c r="A255">
        <v>14</v>
      </c>
      <c r="B255" s="7">
        <f>disk90p*ongoingResourceRatio90p*POWER(1+diskGrowth, A255)</f>
        <v>568.43418860808015</v>
      </c>
      <c r="C255" s="48">
        <f t="shared" si="25"/>
        <v>574.85267578125001</v>
      </c>
      <c r="E255" s="7"/>
      <c r="F255" s="7"/>
      <c r="G255" s="11"/>
      <c r="H255" s="6"/>
    </row>
    <row r="256" spans="1:8" x14ac:dyDescent="0.25">
      <c r="A256">
        <v>15</v>
      </c>
      <c r="B256" s="7">
        <f>disk90p*ongoingResourceRatio90p*POWER(1+diskGrowth, A256)</f>
        <v>710.54273576010019</v>
      </c>
      <c r="C256" s="48">
        <f t="shared" si="25"/>
        <v>679.97267578125002</v>
      </c>
      <c r="E256" s="7"/>
      <c r="F256" s="7"/>
      <c r="G256" s="11"/>
      <c r="H256" s="6"/>
    </row>
    <row r="258" spans="1:13" x14ac:dyDescent="0.25">
      <c r="A258" s="9" t="s">
        <v>69</v>
      </c>
    </row>
    <row r="259" spans="1:13" x14ac:dyDescent="0.25">
      <c r="A259" s="83"/>
      <c r="B259" s="78"/>
      <c r="E259" s="78"/>
      <c r="F259" s="78"/>
      <c r="G259" s="78"/>
      <c r="H259" s="78"/>
      <c r="I259" s="86"/>
      <c r="J259" s="86"/>
      <c r="K259" s="78"/>
      <c r="L259" s="78"/>
      <c r="M259" s="78"/>
    </row>
    <row r="260" spans="1:13" x14ac:dyDescent="0.25">
      <c r="A260" s="80" t="s">
        <v>6</v>
      </c>
      <c r="B260" s="240" t="s">
        <v>76</v>
      </c>
      <c r="C260" s="86"/>
      <c r="D260" s="86"/>
      <c r="E260" s="86"/>
      <c r="F260" s="86"/>
      <c r="G260" s="78"/>
      <c r="H260" s="78"/>
      <c r="I260" s="86"/>
      <c r="J260" s="86"/>
      <c r="K260" s="78"/>
      <c r="L260" s="78"/>
      <c r="M260" s="78"/>
    </row>
    <row r="262" spans="1:13" x14ac:dyDescent="0.25">
      <c r="B262" s="1" t="s">
        <v>43</v>
      </c>
      <c r="C262" s="1" t="s">
        <v>37</v>
      </c>
      <c r="D262" s="175" t="s">
        <v>197</v>
      </c>
      <c r="E262" s="1" t="s">
        <v>29</v>
      </c>
    </row>
    <row r="263" spans="1:13" x14ac:dyDescent="0.25">
      <c r="A263" s="4" t="s">
        <v>7</v>
      </c>
      <c r="B263" s="1" t="s">
        <v>33</v>
      </c>
      <c r="C263" s="1" t="s">
        <v>48</v>
      </c>
      <c r="D263" s="1" t="s">
        <v>8</v>
      </c>
      <c r="E263" s="1" t="s">
        <v>30</v>
      </c>
      <c r="F263" s="1" t="s">
        <v>19</v>
      </c>
    </row>
    <row r="264" spans="1:13" x14ac:dyDescent="0.25">
      <c r="A264">
        <v>0</v>
      </c>
      <c r="B264" s="33">
        <f xml:space="preserve"> utxoSize</f>
        <v>3</v>
      </c>
      <c r="C264" s="7">
        <f>disk10p*ongoingResourceRatio10p*POWER(1+diskGrowth, A264) - B264</f>
        <v>47</v>
      </c>
      <c r="D264" s="46"/>
      <c r="E264" s="47"/>
      <c r="F264" s="47"/>
    </row>
    <row r="265" spans="1:13" x14ac:dyDescent="0.25">
      <c r="A265">
        <v>1</v>
      </c>
      <c r="B265" s="33">
        <f xml:space="preserve"> B264 + B264*utxoGrowth</f>
        <v>4.5</v>
      </c>
      <c r="C265" s="7">
        <f>disk10p*ongoingResourceRatio10p*POWER(1+diskGrowth, A265) - B265</f>
        <v>58</v>
      </c>
      <c r="D265" s="7">
        <f>C265-C264</f>
        <v>11</v>
      </c>
      <c r="E265" s="11">
        <f t="shared" ref="E265:E279" si="26">D265*1000*1000*secondsPerBlock/secondsPerYear</f>
        <v>209.28462709284628</v>
      </c>
      <c r="F265" s="6">
        <f>E265*1000/secondsPerBlock/avgTrSize</f>
        <v>0.73433202488717997</v>
      </c>
    </row>
    <row r="266" spans="1:13" x14ac:dyDescent="0.25">
      <c r="A266">
        <v>2</v>
      </c>
      <c r="B266" s="7">
        <f t="shared" ref="B266:B279" si="27" xml:space="preserve"> B265 + MIN(B265*utxoGrowth,D265)</f>
        <v>6.75</v>
      </c>
      <c r="C266" s="7">
        <f>disk10p*ongoingResourceRatio10p*POWER(1+diskGrowth, A266) - B266</f>
        <v>71.375</v>
      </c>
      <c r="D266" s="7">
        <f t="shared" ref="D266:D279" si="28">C266-C265</f>
        <v>13.375</v>
      </c>
      <c r="E266" s="11">
        <f t="shared" si="26"/>
        <v>254.4710806697108</v>
      </c>
      <c r="F266" s="6">
        <f t="shared" ref="F266:F279" si="29">E266*1000/secondsPerBlock/avgTrSize</f>
        <v>0.89288098480600275</v>
      </c>
    </row>
    <row r="267" spans="1:13" x14ac:dyDescent="0.25">
      <c r="A267">
        <v>3</v>
      </c>
      <c r="B267" s="7">
        <f t="shared" si="27"/>
        <v>10.125</v>
      </c>
      <c r="C267" s="7">
        <f>disk10p*ongoingResourceRatio10p*POWER(1+diskGrowth, A267) - B267</f>
        <v>87.53125</v>
      </c>
      <c r="D267" s="7">
        <f t="shared" si="28"/>
        <v>16.15625</v>
      </c>
      <c r="E267" s="11">
        <f t="shared" si="26"/>
        <v>307.38679604261796</v>
      </c>
      <c r="F267" s="6">
        <f t="shared" si="29"/>
        <v>1.0785501615530453</v>
      </c>
    </row>
    <row r="268" spans="1:13" x14ac:dyDescent="0.25">
      <c r="A268">
        <v>4</v>
      </c>
      <c r="B268" s="7">
        <f t="shared" si="27"/>
        <v>15.1875</v>
      </c>
      <c r="C268" s="7">
        <f>disk10p*ongoingResourceRatio10p*POWER(1+diskGrowth, A268) - B268</f>
        <v>106.8828125</v>
      </c>
      <c r="D268" s="7">
        <f t="shared" si="28"/>
        <v>19.3515625</v>
      </c>
      <c r="E268" s="11">
        <f t="shared" si="26"/>
        <v>368.18041286149162</v>
      </c>
      <c r="F268" s="6">
        <f t="shared" si="29"/>
        <v>1.2918610977596197</v>
      </c>
    </row>
    <row r="269" spans="1:13" x14ac:dyDescent="0.25">
      <c r="A269">
        <v>5</v>
      </c>
      <c r="B269" s="7">
        <f t="shared" si="27"/>
        <v>22.78125</v>
      </c>
      <c r="C269" s="7">
        <f>disk10p*ongoingResourceRatio10p*POWER(1+diskGrowth, A269) - B269</f>
        <v>129.806640625</v>
      </c>
      <c r="D269" s="7">
        <f t="shared" si="28"/>
        <v>22.923828125</v>
      </c>
      <c r="E269" s="11">
        <f t="shared" si="26"/>
        <v>436.14589278919328</v>
      </c>
      <c r="F269" s="6">
        <f t="shared" si="29"/>
        <v>1.530336465926994</v>
      </c>
    </row>
    <row r="270" spans="1:13" x14ac:dyDescent="0.25">
      <c r="A270">
        <v>6</v>
      </c>
      <c r="B270" s="7">
        <f t="shared" si="27"/>
        <v>34.171875</v>
      </c>
      <c r="C270" s="7">
        <f>disk10p*ongoingResourceRatio10p*POWER(1+diskGrowth, A270) - B270</f>
        <v>156.56298828125</v>
      </c>
      <c r="D270" s="7">
        <f t="shared" si="28"/>
        <v>26.75634765625</v>
      </c>
      <c r="E270" s="11">
        <f t="shared" si="26"/>
        <v>509.0629310549848</v>
      </c>
      <c r="F270" s="6">
        <f t="shared" si="29"/>
        <v>1.7861857229999467</v>
      </c>
    </row>
    <row r="271" spans="1:13" x14ac:dyDescent="0.25">
      <c r="A271">
        <v>7</v>
      </c>
      <c r="B271" s="7">
        <f t="shared" si="27"/>
        <v>51.2578125</v>
      </c>
      <c r="C271" s="7">
        <f>disk10p*ongoingResourceRatio10p*POWER(1+diskGrowth, A271) - B271</f>
        <v>187.1607666015625</v>
      </c>
      <c r="D271" s="7">
        <f t="shared" si="28"/>
        <v>30.5977783203125</v>
      </c>
      <c r="E271" s="11">
        <f t="shared" si="26"/>
        <v>582.14951142147072</v>
      </c>
      <c r="F271" s="6">
        <f t="shared" si="29"/>
        <v>2.0426298646367393</v>
      </c>
    </row>
    <row r="272" spans="1:13" x14ac:dyDescent="0.25">
      <c r="A272">
        <v>8</v>
      </c>
      <c r="B272" s="7">
        <f t="shared" si="27"/>
        <v>76.88671875</v>
      </c>
      <c r="C272" s="7">
        <f>disk10p*ongoingResourceRatio10p*POWER(1+diskGrowth, A272) - B272</f>
        <v>221.13650512695312</v>
      </c>
      <c r="D272" s="7">
        <f t="shared" si="28"/>
        <v>33.975738525390625</v>
      </c>
      <c r="E272" s="11">
        <f t="shared" si="26"/>
        <v>646.41816068094795</v>
      </c>
      <c r="F272" s="6">
        <f t="shared" si="29"/>
        <v>2.2681338971261331</v>
      </c>
    </row>
    <row r="273" spans="1:13" x14ac:dyDescent="0.25">
      <c r="A273">
        <v>9</v>
      </c>
      <c r="B273" s="7">
        <f t="shared" si="27"/>
        <v>110.86245727539062</v>
      </c>
      <c r="C273" s="7">
        <f>disk10p*ongoingResourceRatio10p*POWER(1+diskGrowth, A273) - B273</f>
        <v>261.66657257080078</v>
      </c>
      <c r="D273" s="7">
        <f t="shared" si="28"/>
        <v>40.530067443847656</v>
      </c>
      <c r="E273" s="11">
        <f t="shared" si="26"/>
        <v>771.12000463941513</v>
      </c>
      <c r="F273" s="6">
        <f t="shared" si="29"/>
        <v>2.7056842268049652</v>
      </c>
    </row>
    <row r="274" spans="1:13" x14ac:dyDescent="0.25">
      <c r="A274">
        <v>10</v>
      </c>
      <c r="B274" s="7">
        <f t="shared" si="27"/>
        <v>151.39252471923828</v>
      </c>
      <c r="C274" s="7">
        <f>disk10p*ongoingResourceRatio10p*POWER(1+diskGrowth, A274) - B274</f>
        <v>314.26876258850098</v>
      </c>
      <c r="D274" s="7">
        <f t="shared" si="28"/>
        <v>52.602190017700195</v>
      </c>
      <c r="E274" s="11">
        <f t="shared" si="26"/>
        <v>1000.8027020110387</v>
      </c>
      <c r="F274" s="6">
        <f t="shared" si="29"/>
        <v>3.5115884281089076</v>
      </c>
    </row>
    <row r="275" spans="1:13" x14ac:dyDescent="0.25">
      <c r="A275">
        <v>11</v>
      </c>
      <c r="B275" s="7">
        <f t="shared" si="27"/>
        <v>203.99471473693848</v>
      </c>
      <c r="C275" s="7">
        <f>disk10p*ongoingResourceRatio10p*POWER(1+diskGrowth, A275) - B275</f>
        <v>378.0818943977356</v>
      </c>
      <c r="D275" s="7">
        <f t="shared" si="28"/>
        <v>63.813131809234619</v>
      </c>
      <c r="E275" s="11">
        <f t="shared" si="26"/>
        <v>1214.1006813020285</v>
      </c>
      <c r="F275" s="6">
        <f t="shared" si="29"/>
        <v>4.2600023905334332</v>
      </c>
    </row>
    <row r="276" spans="1:13" x14ac:dyDescent="0.25">
      <c r="A276">
        <v>12</v>
      </c>
      <c r="B276" s="7">
        <f t="shared" si="27"/>
        <v>267.8078465461731</v>
      </c>
      <c r="C276" s="7">
        <f>disk10p*ongoingResourceRatio10p*POWER(1+diskGrowth, A276) - B276</f>
        <v>459.78791487216949</v>
      </c>
      <c r="D276" s="7">
        <f t="shared" si="28"/>
        <v>81.706020474433899</v>
      </c>
      <c r="E276" s="11">
        <f t="shared" si="26"/>
        <v>1554.5285478393055</v>
      </c>
      <c r="F276" s="6">
        <f t="shared" si="29"/>
        <v>5.4544861327694925</v>
      </c>
    </row>
    <row r="277" spans="1:13" x14ac:dyDescent="0.25">
      <c r="A277">
        <v>13</v>
      </c>
      <c r="B277" s="7">
        <f t="shared" si="27"/>
        <v>349.51386702060699</v>
      </c>
      <c r="C277" s="7">
        <f>disk10p*ongoingResourceRatio10p*POWER(1+diskGrowth, A277) - B277</f>
        <v>559.98083475232124</v>
      </c>
      <c r="D277" s="7">
        <f t="shared" si="28"/>
        <v>100.19291988015175</v>
      </c>
      <c r="E277" s="11">
        <f t="shared" si="26"/>
        <v>1906.257988587362</v>
      </c>
      <c r="F277" s="6">
        <f t="shared" si="29"/>
        <v>6.6886245213591646</v>
      </c>
    </row>
    <row r="278" spans="1:13" x14ac:dyDescent="0.25">
      <c r="A278">
        <v>14</v>
      </c>
      <c r="B278" s="7">
        <f t="shared" si="27"/>
        <v>449.70678690075874</v>
      </c>
      <c r="C278" s="7">
        <f>disk10p*ongoingResourceRatio10p*POWER(1+diskGrowth, A278) - B278</f>
        <v>687.16159031540155</v>
      </c>
      <c r="D278" s="7">
        <f t="shared" si="28"/>
        <v>127.18075556308031</v>
      </c>
      <c r="E278" s="11">
        <f t="shared" si="26"/>
        <v>2419.7251819459725</v>
      </c>
      <c r="F278" s="6">
        <f t="shared" si="29"/>
        <v>8.4902637963016581</v>
      </c>
    </row>
    <row r="279" spans="1:13" x14ac:dyDescent="0.25">
      <c r="A279">
        <v>15</v>
      </c>
      <c r="B279" s="7">
        <f t="shared" si="27"/>
        <v>576.88754246383905</v>
      </c>
      <c r="C279" s="7">
        <f>disk10p*ongoingResourceRatio10p*POWER(1+diskGrowth, A279) - B279</f>
        <v>844.19792905636132</v>
      </c>
      <c r="D279" s="7">
        <f t="shared" si="28"/>
        <v>157.03633874095976</v>
      </c>
      <c r="E279" s="11">
        <f t="shared" si="26"/>
        <v>2987.7537812206956</v>
      </c>
      <c r="F279" s="6">
        <f t="shared" si="29"/>
        <v>10.48334660077437</v>
      </c>
    </row>
    <row r="282" spans="1:13" x14ac:dyDescent="0.25">
      <c r="A282" s="9" t="s">
        <v>46</v>
      </c>
      <c r="B282" s="29"/>
    </row>
    <row r="283" spans="1:13" s="78" customFormat="1" x14ac:dyDescent="0.25">
      <c r="A283" s="9"/>
      <c r="C283" s="86"/>
      <c r="I283" s="86"/>
      <c r="J283" s="86"/>
    </row>
    <row r="284" spans="1:13" x14ac:dyDescent="0.25">
      <c r="A284" s="80" t="s">
        <v>6</v>
      </c>
      <c r="B284" s="80" t="s">
        <v>75</v>
      </c>
      <c r="C284" s="86"/>
      <c r="D284" s="86"/>
      <c r="E284" s="86"/>
      <c r="F284" s="86"/>
      <c r="G284" s="78"/>
      <c r="H284" s="78"/>
      <c r="I284" s="86"/>
      <c r="J284" s="86"/>
      <c r="K284" s="78"/>
      <c r="L284" s="78"/>
      <c r="M284" s="78"/>
    </row>
    <row r="285" spans="1:13" s="78" customFormat="1" x14ac:dyDescent="0.25">
      <c r="A285" s="80"/>
      <c r="B285"/>
      <c r="C285"/>
      <c r="D285"/>
      <c r="E285"/>
      <c r="F285"/>
      <c r="G285"/>
      <c r="H285"/>
      <c r="I285"/>
      <c r="J285"/>
      <c r="K285"/>
    </row>
    <row r="286" spans="1:13" x14ac:dyDescent="0.25">
      <c r="E286" s="1" t="s">
        <v>43</v>
      </c>
    </row>
    <row r="287" spans="1:13" x14ac:dyDescent="0.25">
      <c r="B287" s="1" t="s">
        <v>42</v>
      </c>
      <c r="C287" s="1" t="s">
        <v>42</v>
      </c>
      <c r="D287" s="1" t="s">
        <v>43</v>
      </c>
      <c r="E287" s="1" t="s">
        <v>31</v>
      </c>
    </row>
    <row r="288" spans="1:13" x14ac:dyDescent="0.25">
      <c r="A288" s="4" t="s">
        <v>7</v>
      </c>
      <c r="B288" s="1" t="s">
        <v>41</v>
      </c>
      <c r="C288" s="1" t="s">
        <v>44</v>
      </c>
      <c r="D288" s="1" t="s">
        <v>33</v>
      </c>
      <c r="E288" s="1" t="s">
        <v>41</v>
      </c>
    </row>
    <row r="289" spans="1:5" x14ac:dyDescent="0.25">
      <c r="A289">
        <v>0</v>
      </c>
      <c r="B289" s="31">
        <f>memory90p*ongoingResourceRatio90p*POWER(1+memoryGrowth, A289)</f>
        <v>0.2</v>
      </c>
      <c r="C289" s="7">
        <f>B289/utxoExpand/utxoMemoryPercent</f>
        <v>1.3333333333333335</v>
      </c>
      <c r="D289" s="73">
        <f xml:space="preserve"> utxoSize</f>
        <v>3</v>
      </c>
      <c r="E289" s="31">
        <f t="shared" ref="E289:E304" si="30">D289*utxoExpand*utxoMemoryPercent</f>
        <v>0.45</v>
      </c>
    </row>
    <row r="290" spans="1:5" x14ac:dyDescent="0.25">
      <c r="A290">
        <v>1</v>
      </c>
      <c r="B290" s="31">
        <f>memory90p*ongoingResourceRatio90p*POWER(1+memoryGrowth, A290)</f>
        <v>0.22999999999999998</v>
      </c>
      <c r="C290" s="7">
        <f t="shared" ref="C290:C304" si="31">B290/utxoExpand/utxoMemoryPercent</f>
        <v>1.5333333333333334</v>
      </c>
      <c r="D290" s="75">
        <f xml:space="preserve"> D289 + MIN(D289*utxoGrowth, curMaxBlocksize*secondsPerYear/secondsPerBlock/KBperGB)</f>
        <v>4.5</v>
      </c>
      <c r="E290" s="31">
        <f t="shared" si="30"/>
        <v>0.67499999999999993</v>
      </c>
    </row>
    <row r="291" spans="1:5" x14ac:dyDescent="0.25">
      <c r="A291">
        <v>2</v>
      </c>
      <c r="B291" s="31">
        <f>memory90p*ongoingResourceRatio90p*POWER(1+memoryGrowth, A291)</f>
        <v>0.26449999999999996</v>
      </c>
      <c r="C291" s="7">
        <f t="shared" si="31"/>
        <v>1.7633333333333334</v>
      </c>
      <c r="D291" s="75">
        <f xml:space="preserve"> D290 + MIN(D290*utxoGrowth, curMaxBlocksize*secondsPerYear/secondsPerBlock/KBperGB)</f>
        <v>6.75</v>
      </c>
      <c r="E291" s="31">
        <f t="shared" si="30"/>
        <v>1.0125</v>
      </c>
    </row>
    <row r="292" spans="1:5" x14ac:dyDescent="0.25">
      <c r="A292">
        <v>3</v>
      </c>
      <c r="B292" s="31">
        <f>memory90p*ongoingResourceRatio90p*POWER(1+memoryGrowth, A292)</f>
        <v>0.30417499999999992</v>
      </c>
      <c r="C292" s="7">
        <f t="shared" si="31"/>
        <v>2.0278333333333332</v>
      </c>
      <c r="D292" s="75">
        <f t="shared" ref="D292:D304" si="32" xml:space="preserve"> D291 + MIN(D291*utxoGrowth, curMaxBlocksize*secondsPerYear/secondsPerBlock/KBperGB)</f>
        <v>10.125</v>
      </c>
      <c r="E292" s="31">
        <f t="shared" si="30"/>
        <v>1.5187499999999996</v>
      </c>
    </row>
    <row r="293" spans="1:5" x14ac:dyDescent="0.25">
      <c r="A293">
        <v>4</v>
      </c>
      <c r="B293" s="31">
        <f>memory90p*ongoingResourceRatio90p*POWER(1+memoryGrowth, A293)</f>
        <v>0.3498012499999999</v>
      </c>
      <c r="C293" s="7">
        <f t="shared" si="31"/>
        <v>2.332008333333333</v>
      </c>
      <c r="D293" s="75">
        <f t="shared" si="32"/>
        <v>15.1875</v>
      </c>
      <c r="E293" s="31">
        <f t="shared" si="30"/>
        <v>2.2781249999999997</v>
      </c>
    </row>
    <row r="294" spans="1:5" x14ac:dyDescent="0.25">
      <c r="A294">
        <v>5</v>
      </c>
      <c r="B294" s="31">
        <f>memory90p*ongoingResourceRatio90p*POWER(1+memoryGrowth, A294)</f>
        <v>0.40227143749999988</v>
      </c>
      <c r="C294" s="7">
        <f t="shared" si="31"/>
        <v>2.6818095833333331</v>
      </c>
      <c r="D294" s="75">
        <f t="shared" si="32"/>
        <v>22.78125</v>
      </c>
      <c r="E294" s="31">
        <f t="shared" si="30"/>
        <v>3.4171874999999998</v>
      </c>
    </row>
    <row r="295" spans="1:5" x14ac:dyDescent="0.25">
      <c r="A295">
        <v>6</v>
      </c>
      <c r="B295" s="31">
        <f>memory90p*ongoingResourceRatio90p*POWER(1+memoryGrowth, A295)</f>
        <v>0.46261215312499981</v>
      </c>
      <c r="C295" s="7">
        <f t="shared" si="31"/>
        <v>3.0840810208333327</v>
      </c>
      <c r="D295" s="75">
        <f t="shared" si="32"/>
        <v>34.171875</v>
      </c>
      <c r="E295" s="31">
        <f t="shared" si="30"/>
        <v>5.1257812499999993</v>
      </c>
    </row>
    <row r="296" spans="1:5" x14ac:dyDescent="0.25">
      <c r="A296">
        <v>7</v>
      </c>
      <c r="B296" s="31">
        <f>memory90p*ongoingResourceRatio90p*POWER(1+memoryGrowth, A296)</f>
        <v>0.53200397609374972</v>
      </c>
      <c r="C296" s="7">
        <f t="shared" si="31"/>
        <v>3.5466931739583316</v>
      </c>
      <c r="D296" s="75">
        <f t="shared" si="32"/>
        <v>51.2578125</v>
      </c>
      <c r="E296" s="31">
        <f t="shared" si="30"/>
        <v>7.6886718749999989</v>
      </c>
    </row>
    <row r="297" spans="1:5" x14ac:dyDescent="0.25">
      <c r="A297">
        <v>8</v>
      </c>
      <c r="B297" s="31">
        <f>memory90p*ongoingResourceRatio90p*POWER(1+memoryGrowth, A297)</f>
        <v>0.61180457250781206</v>
      </c>
      <c r="C297" s="7">
        <f t="shared" si="31"/>
        <v>4.078697150052081</v>
      </c>
      <c r="D297" s="75">
        <f t="shared" si="32"/>
        <v>76.88671875</v>
      </c>
      <c r="E297" s="31">
        <f t="shared" si="30"/>
        <v>11.533007812499999</v>
      </c>
    </row>
    <row r="298" spans="1:5" x14ac:dyDescent="0.25">
      <c r="A298">
        <v>9</v>
      </c>
      <c r="B298" s="31">
        <f>memory90p*ongoingResourceRatio90p*POWER(1+memoryGrowth, A298)</f>
        <v>0.70357525838398383</v>
      </c>
      <c r="C298" s="7">
        <f t="shared" si="31"/>
        <v>4.6905017225598931</v>
      </c>
      <c r="D298" s="75">
        <f t="shared" si="32"/>
        <v>115.330078125</v>
      </c>
      <c r="E298" s="31">
        <f t="shared" si="30"/>
        <v>17.299511718750001</v>
      </c>
    </row>
    <row r="299" spans="1:5" x14ac:dyDescent="0.25">
      <c r="A299">
        <v>10</v>
      </c>
      <c r="B299" s="31">
        <f>memory90p*ongoingResourceRatio90p*POWER(1+memoryGrowth, A299)</f>
        <v>0.8091115471415814</v>
      </c>
      <c r="C299" s="7">
        <f t="shared" si="31"/>
        <v>5.3940769809438764</v>
      </c>
      <c r="D299" s="75">
        <f t="shared" si="32"/>
        <v>172.9951171875</v>
      </c>
      <c r="E299" s="31">
        <f t="shared" si="30"/>
        <v>25.949267578124996</v>
      </c>
    </row>
    <row r="300" spans="1:5" x14ac:dyDescent="0.25">
      <c r="A300">
        <v>11</v>
      </c>
      <c r="B300" s="31">
        <f>memory90p*ongoingResourceRatio90p*POWER(1+memoryGrowth, A300)</f>
        <v>0.93047827921281856</v>
      </c>
      <c r="C300" s="7">
        <f t="shared" si="31"/>
        <v>6.2031885280854571</v>
      </c>
      <c r="D300" s="75">
        <f t="shared" si="32"/>
        <v>259.49267578125</v>
      </c>
      <c r="E300" s="31">
        <f t="shared" si="30"/>
        <v>38.923901367187497</v>
      </c>
    </row>
    <row r="301" spans="1:5" x14ac:dyDescent="0.25">
      <c r="A301">
        <v>12</v>
      </c>
      <c r="B301" s="31">
        <f>memory90p*ongoingResourceRatio90p*POWER(1+memoryGrowth, A301)</f>
        <v>1.070050021094741</v>
      </c>
      <c r="C301" s="7">
        <f t="shared" si="31"/>
        <v>7.1336668072982734</v>
      </c>
      <c r="D301" s="75">
        <f t="shared" si="32"/>
        <v>364.61267578125</v>
      </c>
      <c r="E301" s="31">
        <f t="shared" si="30"/>
        <v>54.691901367187498</v>
      </c>
    </row>
    <row r="302" spans="1:5" x14ac:dyDescent="0.25">
      <c r="A302">
        <v>13</v>
      </c>
      <c r="B302" s="31">
        <f>memory90p*ongoingResourceRatio90p*POWER(1+memoryGrowth, A302)</f>
        <v>1.2305575242589524</v>
      </c>
      <c r="C302" s="7">
        <f t="shared" si="31"/>
        <v>8.2037168283930164</v>
      </c>
      <c r="D302" s="75">
        <f t="shared" si="32"/>
        <v>469.73267578125001</v>
      </c>
      <c r="E302" s="31">
        <f t="shared" si="30"/>
        <v>70.459901367187499</v>
      </c>
    </row>
    <row r="303" spans="1:5" x14ac:dyDescent="0.25">
      <c r="A303">
        <v>14</v>
      </c>
      <c r="B303" s="31">
        <f>memory90p*ongoingResourceRatio90p*POWER(1+memoryGrowth, A303)</f>
        <v>1.4151411528977951</v>
      </c>
      <c r="C303" s="7">
        <f t="shared" si="31"/>
        <v>9.4342743526519683</v>
      </c>
      <c r="D303" s="75">
        <f t="shared" si="32"/>
        <v>574.85267578125001</v>
      </c>
      <c r="E303" s="31">
        <f t="shared" si="30"/>
        <v>86.227901367187499</v>
      </c>
    </row>
    <row r="304" spans="1:5" x14ac:dyDescent="0.25">
      <c r="A304">
        <v>15</v>
      </c>
      <c r="B304" s="31">
        <f>memory90p*ongoingResourceRatio90p*POWER(1+memoryGrowth, A304)</f>
        <v>1.627412325832464</v>
      </c>
      <c r="C304" s="7">
        <f t="shared" si="31"/>
        <v>10.849415505549761</v>
      </c>
      <c r="D304" s="75">
        <f t="shared" si="32"/>
        <v>679.97267578125002</v>
      </c>
      <c r="E304" s="31">
        <f t="shared" si="30"/>
        <v>101.99590136718749</v>
      </c>
    </row>
    <row r="305" spans="1:10" s="78" customFormat="1" x14ac:dyDescent="0.25">
      <c r="B305" s="31"/>
      <c r="C305" s="7"/>
      <c r="D305" s="75"/>
      <c r="E305" s="31"/>
    </row>
    <row r="306" spans="1:10" s="78" customFormat="1" x14ac:dyDescent="0.25">
      <c r="A306" s="9" t="s">
        <v>145</v>
      </c>
      <c r="B306" s="31"/>
      <c r="C306" s="7"/>
      <c r="D306" s="75"/>
      <c r="E306" s="31"/>
    </row>
    <row r="307" spans="1:10" s="78" customFormat="1" x14ac:dyDescent="0.25">
      <c r="A307" s="9"/>
      <c r="I307" s="86"/>
      <c r="J307" s="86"/>
    </row>
    <row r="308" spans="1:10" s="78" customFormat="1" x14ac:dyDescent="0.25">
      <c r="A308" s="80" t="s">
        <v>121</v>
      </c>
      <c r="B308" s="240" t="s">
        <v>268</v>
      </c>
      <c r="C308" s="80"/>
      <c r="D308" s="86"/>
      <c r="E308" s="86"/>
      <c r="F308" s="86"/>
      <c r="H308" s="86"/>
      <c r="I308" s="86"/>
      <c r="J308" s="86"/>
    </row>
    <row r="309" spans="1:10" s="78" customFormat="1" x14ac:dyDescent="0.25">
      <c r="B309" s="31"/>
      <c r="C309" s="7"/>
      <c r="D309" s="75"/>
      <c r="E309" s="31"/>
    </row>
    <row r="310" spans="1:10" s="78" customFormat="1" x14ac:dyDescent="0.25">
      <c r="C310" s="79" t="s">
        <v>126</v>
      </c>
      <c r="F310" s="79" t="s">
        <v>124</v>
      </c>
      <c r="G310" s="164" t="s">
        <v>124</v>
      </c>
      <c r="H310" s="142" t="s">
        <v>168</v>
      </c>
    </row>
    <row r="311" spans="1:10" s="78" customFormat="1" x14ac:dyDescent="0.25">
      <c r="B311" s="79" t="s">
        <v>130</v>
      </c>
      <c r="C311" s="79" t="s">
        <v>128</v>
      </c>
      <c r="D311" s="142"/>
      <c r="E311" s="79" t="s">
        <v>124</v>
      </c>
      <c r="F311" s="142" t="s">
        <v>161</v>
      </c>
      <c r="G311" s="164" t="s">
        <v>161</v>
      </c>
      <c r="H311" s="142" t="s">
        <v>169</v>
      </c>
    </row>
    <row r="312" spans="1:10" s="78" customFormat="1" x14ac:dyDescent="0.25">
      <c r="B312" s="79" t="s">
        <v>44</v>
      </c>
      <c r="C312" s="79" t="s">
        <v>129</v>
      </c>
      <c r="D312" s="142" t="s">
        <v>54</v>
      </c>
      <c r="E312" s="79" t="s">
        <v>127</v>
      </c>
      <c r="F312" s="79" t="s">
        <v>1</v>
      </c>
      <c r="G312" s="164" t="s">
        <v>186</v>
      </c>
      <c r="H312" s="142" t="s">
        <v>170</v>
      </c>
    </row>
    <row r="313" spans="1:10" s="78" customFormat="1" x14ac:dyDescent="0.25">
      <c r="B313" s="109">
        <v>0.25</v>
      </c>
      <c r="C313" s="112">
        <v>1E-3</v>
      </c>
      <c r="D313" s="143">
        <f>(outgoingConnections10p + 0.1*minPublicNodeConnections)</f>
        <v>16</v>
      </c>
      <c r="E313" s="144">
        <f>(1/2)*LOG(0.1*curUsers*1000*1000)/LOG(D313)</f>
        <v>2.4271244245618022</v>
      </c>
      <c r="F313" s="104">
        <f>bandwidth10p</f>
        <v>50</v>
      </c>
      <c r="G313" s="105">
        <f>validationRate10p</f>
        <v>2000</v>
      </c>
      <c r="H313" s="85">
        <v>0.5</v>
      </c>
    </row>
    <row r="314" spans="1:10" s="78" customFormat="1" x14ac:dyDescent="0.25">
      <c r="C314" s="7"/>
      <c r="D314" s="75"/>
      <c r="E314" s="31"/>
    </row>
    <row r="315" spans="1:10" s="78" customFormat="1" x14ac:dyDescent="0.25">
      <c r="B315" s="107" t="s">
        <v>142</v>
      </c>
      <c r="D315" s="79" t="s">
        <v>131</v>
      </c>
      <c r="E315" s="142" t="s">
        <v>131</v>
      </c>
      <c r="H315" s="75"/>
      <c r="I315" s="31"/>
      <c r="J315" s="86" t="s">
        <v>143</v>
      </c>
    </row>
    <row r="316" spans="1:10" s="78" customFormat="1" x14ac:dyDescent="0.25">
      <c r="B316" s="79" t="s">
        <v>143</v>
      </c>
      <c r="C316" s="107" t="s">
        <v>132</v>
      </c>
      <c r="D316" s="79" t="s">
        <v>30</v>
      </c>
      <c r="E316" s="142" t="s">
        <v>30</v>
      </c>
      <c r="F316" s="142" t="s">
        <v>131</v>
      </c>
      <c r="G316" s="142" t="s">
        <v>28</v>
      </c>
      <c r="H316" s="107" t="s">
        <v>132</v>
      </c>
      <c r="I316" s="107" t="s">
        <v>132</v>
      </c>
      <c r="J316" s="86" t="s">
        <v>167</v>
      </c>
    </row>
    <row r="317" spans="1:10" s="78" customFormat="1" x14ac:dyDescent="0.25">
      <c r="A317" s="103" t="s">
        <v>7</v>
      </c>
      <c r="B317" s="79" t="s">
        <v>144</v>
      </c>
      <c r="C317" s="79" t="s">
        <v>135</v>
      </c>
      <c r="D317" s="142" t="s">
        <v>162</v>
      </c>
      <c r="E317" s="142" t="s">
        <v>163</v>
      </c>
      <c r="F317" s="142" t="s">
        <v>30</v>
      </c>
      <c r="G317" s="142" t="s">
        <v>65</v>
      </c>
      <c r="H317" s="79" t="s">
        <v>134</v>
      </c>
      <c r="I317" s="79" t="s">
        <v>133</v>
      </c>
      <c r="J317" s="158" t="s">
        <v>166</v>
      </c>
    </row>
    <row r="318" spans="1:10" s="78" customFormat="1" x14ac:dyDescent="0.25">
      <c r="A318" s="78">
        <v>0</v>
      </c>
      <c r="B318" s="113">
        <f>secondsPerBlock*maximumMinerAdvantage/targetMinerPercentHashpower</f>
        <v>2.4</v>
      </c>
      <c r="C318" s="151">
        <f>(((avgHops-1+5)*minLastMileLatency) + ((avgHops-1)*proximityFavoringFactor*(latency10p-minLastMileLatency)+5*(latency90p-minLastMileLatency))*(1-(1-POWER(1+latencyGrowth,A318))))/1000</f>
        <v>0.75346652078073062</v>
      </c>
      <c r="D318" s="91">
        <f>(B318 - C318)*(avgRelayBandwidth*ongoingResourceRatio90p*POWER(1+bandwidthGrowth,A318)*mbToGB*1000)/(compactBlockCompactedness+missingTransactionRate)</f>
        <v>54.162285500633857</v>
      </c>
      <c r="E318" s="91">
        <f>(B318 - C318)*avgTrSize*(avgRelayValidationSpeed*ongoingResourceRatio90p*POWER(1+cpuGrowth,A318))/missingTransactionRate/1000/1000</f>
        <v>15.64206805258306</v>
      </c>
      <c r="F318" s="91">
        <f>MIN(D318,E318)</f>
        <v>15.64206805258306</v>
      </c>
      <c r="G318" s="6">
        <f t="shared" ref="G318" si="33">F318*1000*1000/secondsPerBlock/avgTrSize</f>
        <v>54.884449307308977</v>
      </c>
      <c r="H318" s="115">
        <f>F318*1000*(missingTransactionRate+compactBlockCompactedness)/(avgRelayBandwidth*ongoingResourceRatio90p*POWER(1+bandwidthGrowth,A318)*mbToGB*KBperGB)</f>
        <v>0.47551886879852501</v>
      </c>
      <c r="I318" s="116">
        <f>(F318*missingTransactionRate*1000*1000/avgTrSize)/(avgRelayValidationSpeed*ongoingResourceRatio90p*POWER(1+cpuGrowth,A318))</f>
        <v>1.6465334792192698</v>
      </c>
      <c r="J318" s="159">
        <f>MAX(H318,I318)+C318</f>
        <v>2.4000000000000004</v>
      </c>
    </row>
    <row r="319" spans="1:10" s="78" customFormat="1" x14ac:dyDescent="0.25">
      <c r="A319" s="78">
        <v>1</v>
      </c>
      <c r="B319" s="113">
        <f>secondsPerBlock*maximumMinerAdvantage/targetMinerPercentHashpower</f>
        <v>2.4</v>
      </c>
      <c r="C319" s="151">
        <f>(((avgHops-1+5)*minLastMileLatency) + ((avgHops-1)*proximityFavoringFactor*(latency10p-minLastMileLatency)+5*(latency90p-minLastMileLatency))*(1-(1-POWER(1+latencyGrowth,A319))))/1000</f>
        <v>0.73375473114836154</v>
      </c>
      <c r="D319" s="91">
        <f>(B319 - C319)*(avgRelayBandwidth*ongoingResourceRatio90p*POWER(1+bandwidthGrowth,A319)*mbToGB*1000)/(compactBlockCompactedness+missingTransactionRate)</f>
        <v>68.51337454159696</v>
      </c>
      <c r="E319" s="91">
        <f>(B319 - C319)*avgTrSize*(avgRelayValidationSpeed*ongoingResourceRatio90p*POWER(1+cpuGrowth,A319))/missingTransactionRate/1000/1000</f>
        <v>18.520316163285958</v>
      </c>
      <c r="F319" s="91">
        <f t="shared" ref="F319:F333" si="34">MIN(D319,E319)</f>
        <v>18.520316163285958</v>
      </c>
      <c r="G319" s="6">
        <f t="shared" ref="G319:G333" si="35">F319*1000*1000/secondsPerBlock/avgTrSize</f>
        <v>64.983565485213887</v>
      </c>
      <c r="H319" s="115">
        <f>F319*1000*(missingTransactionRate+compactBlockCompactedness)/(avgRelayBandwidth*ongoingResourceRatio90p*POWER(1+bandwidthGrowth,A319)*mbToGB*KBperGB)</f>
        <v>0.45041408909111452</v>
      </c>
      <c r="I319" s="116">
        <f>(F319*missingTransactionRate*1000*1000/avgTrSize)/(avgRelayValidationSpeed*ongoingResourceRatio90p*POWER(1+cpuGrowth,A319))</f>
        <v>1.666245268851638</v>
      </c>
      <c r="J319" s="159">
        <f t="shared" ref="J319:J333" si="36">MAX(H319,I319)+C319</f>
        <v>2.3999999999999995</v>
      </c>
    </row>
    <row r="320" spans="1:10" s="78" customFormat="1" x14ac:dyDescent="0.25">
      <c r="A320" s="78">
        <v>2</v>
      </c>
      <c r="B320" s="113">
        <f>secondsPerBlock*maximumMinerAdvantage/targetMinerPercentHashpower</f>
        <v>2.4</v>
      </c>
      <c r="C320" s="151">
        <f>(((avgHops-1+5)*minLastMileLatency) + ((avgHops-1)*proximityFavoringFactor*(latency10p-minLastMileLatency)+5*(latency90p-minLastMileLatency))*(1-(1-POWER(1+latencyGrowth,A320))))/1000</f>
        <v>0.71463429520496347</v>
      </c>
      <c r="D320" s="91">
        <f>(B320 - C320)*(avgRelayBandwidth*ongoingResourceRatio90p*POWER(1+bandwidthGrowth,A320)*mbToGB*1000)/(compactBlockCompactedness+missingTransactionRate)</f>
        <v>86.624470846784376</v>
      </c>
      <c r="E320" s="91">
        <f>(B320 - C320)*avgTrSize*(avgRelayValidationSpeed*ongoingResourceRatio90p*POWER(1+cpuGrowth,A320))/missingTransactionRate/1000/1000</f>
        <v>21.917422576292292</v>
      </c>
      <c r="F320" s="91">
        <f t="shared" si="34"/>
        <v>21.917422576292292</v>
      </c>
      <c r="G320" s="6">
        <f t="shared" si="35"/>
        <v>76.903237109797516</v>
      </c>
      <c r="H320" s="115">
        <f>F320*1000*(missingTransactionRate+compactBlockCompactedness)/(avgRelayBandwidth*ongoingResourceRatio90p*POWER(1+bandwidthGrowth,A320)*mbToGB*KBperGB)</f>
        <v>0.4264253736443428</v>
      </c>
      <c r="I320" s="116">
        <f>(F320*missingTransactionRate*1000*1000/avgTrSize)/(avgRelayValidationSpeed*ongoingResourceRatio90p*POWER(1+cpuGrowth,A320))</f>
        <v>1.6853657047950368</v>
      </c>
      <c r="J320" s="159">
        <f t="shared" si="36"/>
        <v>2.4000000000000004</v>
      </c>
    </row>
    <row r="321" spans="1:10" s="78" customFormat="1" x14ac:dyDescent="0.25">
      <c r="A321" s="78">
        <v>3</v>
      </c>
      <c r="B321" s="113">
        <f>secondsPerBlock*maximumMinerAdvantage/targetMinerPercentHashpower</f>
        <v>2.4</v>
      </c>
      <c r="C321" s="151">
        <f>(((avgHops-1+5)*minLastMileLatency) + ((avgHops-1)*proximityFavoringFactor*(latency10p-minLastMileLatency)+5*(latency90p-minLastMileLatency))*(1-(1-POWER(1+latencyGrowth,A321))))/1000</f>
        <v>0.69608747233986745</v>
      </c>
      <c r="D321" s="91">
        <f>(B321 - C321)*(avgRelayBandwidth*ongoingResourceRatio90p*POWER(1+bandwidthGrowth,A321)*mbToGB*1000)/(compactBlockCompactedness+missingTransactionRate)</f>
        <v>109.47217617059856</v>
      </c>
      <c r="E321" s="91">
        <f>(B321 - C321)*avgTrSize*(avgRelayValidationSpeed*ongoingResourceRatio90p*POWER(1+cpuGrowth,A321))/missingTransactionRate/1000/1000</f>
        <v>25.925580324051612</v>
      </c>
      <c r="F321" s="91">
        <f t="shared" si="34"/>
        <v>25.925580324051612</v>
      </c>
      <c r="G321" s="6">
        <f t="shared" si="35"/>
        <v>90.96694850544425</v>
      </c>
      <c r="H321" s="115">
        <f>F321*1000*(missingTransactionRate+compactBlockCompactedness)/(avgRelayBandwidth*ongoingResourceRatio90p*POWER(1+bandwidthGrowth,A321)*mbToGB*KBperGB)</f>
        <v>0.4035264726277985</v>
      </c>
      <c r="I321" s="116">
        <f>(F321*missingTransactionRate*1000*1000/avgTrSize)/(avgRelayValidationSpeed*ongoingResourceRatio90p*POWER(1+cpuGrowth,A321))</f>
        <v>1.7039125276601326</v>
      </c>
      <c r="J321" s="159">
        <f t="shared" si="36"/>
        <v>2.4</v>
      </c>
    </row>
    <row r="322" spans="1:10" s="78" customFormat="1" x14ac:dyDescent="0.25">
      <c r="A322" s="78">
        <v>4</v>
      </c>
      <c r="B322" s="113">
        <f>secondsPerBlock*maximumMinerAdvantage/targetMinerPercentHashpower</f>
        <v>2.4</v>
      </c>
      <c r="C322" s="151">
        <f>(((avgHops-1+5)*minLastMileLatency) + ((avgHops-1)*proximityFavoringFactor*(latency10p-minLastMileLatency)+5*(latency90p-minLastMileLatency))*(1-(1-POWER(1+latencyGrowth,A322))))/1000</f>
        <v>0.67809705416072419</v>
      </c>
      <c r="D322" s="91">
        <f>(B322 - C322)*(avgRelayBandwidth*ongoingResourceRatio90p*POWER(1+bandwidthGrowth,A322)*mbToGB*1000)/(compactBlockCompactedness+missingTransactionRate)</f>
        <v>138.28502019294143</v>
      </c>
      <c r="E322" s="91">
        <f>(B322 - C322)*avgTrSize*(avgRelayValidationSpeed*ongoingResourceRatio90p*POWER(1+cpuGrowth,A322))/missingTransactionRate/1000/1000</f>
        <v>30.65319311716064</v>
      </c>
      <c r="F322" s="91">
        <f t="shared" si="34"/>
        <v>30.65319311716064</v>
      </c>
      <c r="G322" s="6">
        <f t="shared" si="35"/>
        <v>107.55506356898471</v>
      </c>
      <c r="H322" s="115">
        <f>F322*1000*(missingTransactionRate+compactBlockCompactedness)/(avgRelayBandwidth*ongoingResourceRatio90p*POWER(1+bandwidthGrowth,A322)*mbToGB*KBperGB)</f>
        <v>0.38168865618398556</v>
      </c>
      <c r="I322" s="116">
        <f>(F322*missingTransactionRate*1000*1000/avgTrSize)/(avgRelayValidationSpeed*ongoingResourceRatio90p*POWER(1+cpuGrowth,A322))</f>
        <v>1.7219029458392765</v>
      </c>
      <c r="J322" s="159">
        <f t="shared" si="36"/>
        <v>2.4000000000000008</v>
      </c>
    </row>
    <row r="323" spans="1:10" s="78" customFormat="1" x14ac:dyDescent="0.25">
      <c r="A323" s="78">
        <v>5</v>
      </c>
      <c r="B323" s="113">
        <f>secondsPerBlock*maximumMinerAdvantage/targetMinerPercentHashpower</f>
        <v>2.4</v>
      </c>
      <c r="C323" s="151">
        <f>(((avgHops-1+5)*minLastMileLatency) + ((avgHops-1)*proximityFavoringFactor*(latency10p-minLastMileLatency)+5*(latency90p-minLastMileLatency))*(1-(1-POWER(1+latencyGrowth,A323))))/1000</f>
        <v>0.66064634852695514</v>
      </c>
      <c r="D323" s="91">
        <f>(B323 - C323)*(avgRelayBandwidth*ongoingResourceRatio90p*POWER(1+bandwidthGrowth,A323)*mbToGB*1000)/(compactBlockCompactedness+missingTransactionRate)</f>
        <v>174.60809521655483</v>
      </c>
      <c r="E323" s="91">
        <f>(B323 - C323)*avgTrSize*(avgRelayValidationSpeed*ongoingResourceRatio90p*POWER(1+cpuGrowth,A323))/missingTransactionRate/1000/1000</f>
        <v>36.227703717317127</v>
      </c>
      <c r="F323" s="91">
        <f t="shared" si="34"/>
        <v>36.227703717317127</v>
      </c>
      <c r="G323" s="6">
        <f t="shared" si="35"/>
        <v>127.11474988532325</v>
      </c>
      <c r="H323" s="115">
        <f>F323*1000*(missingTransactionRate+compactBlockCompactedness)/(avgRelayBandwidth*ongoingResourceRatio90p*POWER(1+bandwidthGrowth,A323)*mbToGB*KBperGB)</f>
        <v>0.36088125620435046</v>
      </c>
      <c r="I323" s="116">
        <f>(F323*missingTransactionRate*1000*1000/avgTrSize)/(avgRelayValidationSpeed*ongoingResourceRatio90p*POWER(1+cpuGrowth,A323))</f>
        <v>1.739353651473045</v>
      </c>
      <c r="J323" s="159">
        <f t="shared" si="36"/>
        <v>2.4000000000000004</v>
      </c>
    </row>
    <row r="324" spans="1:10" s="78" customFormat="1" x14ac:dyDescent="0.25">
      <c r="A324" s="78">
        <v>6</v>
      </c>
      <c r="B324" s="113">
        <f>secondsPerBlock*maximumMinerAdvantage/targetMinerPercentHashpower</f>
        <v>2.4</v>
      </c>
      <c r="C324" s="151">
        <f>(((avgHops-1+5)*minLastMileLatency) + ((avgHops-1)*proximityFavoringFactor*(latency10p-minLastMileLatency)+5*(latency90p-minLastMileLatency))*(1-(1-POWER(1+latencyGrowth,A324))))/1000</f>
        <v>0.64371916406219942</v>
      </c>
      <c r="D324" s="91">
        <f>(B324 - C324)*(avgRelayBandwidth*ongoingResourceRatio90p*POWER(1+bandwidthGrowth,A324)*mbToGB*1000)/(compactBlockCompactedness+missingTransactionRate)</f>
        <v>220.38420074083939</v>
      </c>
      <c r="E324" s="91">
        <f>(B324 - C324)*avgTrSize*(avgRelayValidationSpeed*ongoingResourceRatio90p*POWER(1+cpuGrowth,A324))/missingTransactionRate/1000/1000</f>
        <v>42.798912921705501</v>
      </c>
      <c r="F324" s="91">
        <f t="shared" si="34"/>
        <v>42.798912921705501</v>
      </c>
      <c r="G324" s="6">
        <f t="shared" si="35"/>
        <v>150.17162428668595</v>
      </c>
      <c r="H324" s="115">
        <f>F324*1000*(missingTransactionRate+compactBlockCompactedness)/(avgRelayBandwidth*ongoingResourceRatio90p*POWER(1+bandwidthGrowth,A324)*mbToGB*KBperGB)</f>
        <v>0.34107213816000603</v>
      </c>
      <c r="I324" s="116">
        <f>(F324*missingTransactionRate*1000*1000/avgTrSize)/(avgRelayValidationSpeed*ongoingResourceRatio90p*POWER(1+cpuGrowth,A324))</f>
        <v>1.7562808359378008</v>
      </c>
      <c r="J324" s="159">
        <f t="shared" si="36"/>
        <v>2.4000000000000004</v>
      </c>
    </row>
    <row r="325" spans="1:10" s="78" customFormat="1" x14ac:dyDescent="0.25">
      <c r="A325" s="78">
        <v>7</v>
      </c>
      <c r="B325" s="113">
        <f>secondsPerBlock*maximumMinerAdvantage/targetMinerPercentHashpower</f>
        <v>2.4</v>
      </c>
      <c r="C325" s="151">
        <f>(((avgHops-1+5)*minLastMileLatency) + ((avgHops-1)*proximityFavoringFactor*(latency10p-minLastMileLatency)+5*(latency90p-minLastMileLatency))*(1-(1-POWER(1+latencyGrowth,A325))))/1000</f>
        <v>0.62729979513138623</v>
      </c>
      <c r="D325" s="91">
        <f>(B325 - C325)*(avgRelayBandwidth*ongoingResourceRatio90p*POWER(1+bandwidthGrowth,A325)*mbToGB*1000)/(compactBlockCompactedness+missingTransactionRate)</f>
        <v>278.05570001172606</v>
      </c>
      <c r="E325" s="91">
        <f>(B325 - C325)*avgTrSize*(avgRelayValidationSpeed*ongoingResourceRatio90p*POWER(1+cpuGrowth,A325))/missingTransactionRate/1000/1000</f>
        <v>50.542873883162628</v>
      </c>
      <c r="F325" s="91">
        <f t="shared" si="34"/>
        <v>50.542873883162628</v>
      </c>
      <c r="G325" s="6">
        <f t="shared" si="35"/>
        <v>177.34341713390396</v>
      </c>
      <c r="H325" s="115">
        <f>F325*1000*(missingTransactionRate+compactBlockCompactedness)/(avgRelayBandwidth*ongoingResourceRatio90p*POWER(1+bandwidthGrowth,A325)*mbToGB*KBperGB)</f>
        <v>0.32222811071145968</v>
      </c>
      <c r="I325" s="116">
        <f>(F325*missingTransactionRate*1000*1000/avgTrSize)/(avgRelayValidationSpeed*ongoingResourceRatio90p*POWER(1+cpuGrowth,A325))</f>
        <v>1.7727002048686136</v>
      </c>
      <c r="J325" s="159">
        <f t="shared" si="36"/>
        <v>2.4</v>
      </c>
    </row>
    <row r="326" spans="1:10" s="78" customFormat="1" x14ac:dyDescent="0.25">
      <c r="A326" s="78">
        <v>8</v>
      </c>
      <c r="B326" s="113">
        <f>secondsPerBlock*maximumMinerAdvantage/targetMinerPercentHashpower</f>
        <v>2.4</v>
      </c>
      <c r="C326" s="151">
        <f>(((avgHops-1+5)*minLastMileLatency) + ((avgHops-1)*proximityFavoringFactor*(latency10p-minLastMileLatency)+5*(latency90p-minLastMileLatency))*(1-(1-POWER(1+latencyGrowth,A326))))/1000</f>
        <v>0.61137300726849741</v>
      </c>
      <c r="D326" s="91">
        <f>(B326 - C326)*(avgRelayBandwidth*ongoingResourceRatio90p*POWER(1+bandwidthGrowth,A326)*mbToGB*1000)/(compactBlockCompactedness+missingTransactionRate)</f>
        <v>350.69235703104079</v>
      </c>
      <c r="E326" s="91">
        <f>(B326 - C326)*avgTrSize*(avgRelayValidationSpeed*ongoingResourceRatio90p*POWER(1+cpuGrowth,A326))/missingTransactionRate/1000/1000</f>
        <v>59.666461071734588</v>
      </c>
      <c r="F326" s="91">
        <f t="shared" si="34"/>
        <v>59.666461071734588</v>
      </c>
      <c r="G326" s="6">
        <f t="shared" si="35"/>
        <v>209.35600376047222</v>
      </c>
      <c r="H326" s="115">
        <f>F326*1000*(missingTransactionRate+compactBlockCompactedness)/(avgRelayBandwidth*ongoingResourceRatio90p*POWER(1+bandwidthGrowth,A326)*mbToGB*KBperGB)</f>
        <v>0.30431528002824915</v>
      </c>
      <c r="I326" s="116">
        <f>(F326*missingTransactionRate*1000*1000/avgTrSize)/(avgRelayValidationSpeed*ongoingResourceRatio90p*POWER(1+cpuGrowth,A326))</f>
        <v>1.7886269927315028</v>
      </c>
      <c r="J326" s="159">
        <f t="shared" si="36"/>
        <v>2.4000000000000004</v>
      </c>
    </row>
    <row r="327" spans="1:10" s="78" customFormat="1" x14ac:dyDescent="0.25">
      <c r="A327" s="78">
        <v>9</v>
      </c>
      <c r="B327" s="113">
        <f>secondsPerBlock*maximumMinerAdvantage/targetMinerPercentHashpower</f>
        <v>2.4</v>
      </c>
      <c r="C327" s="151">
        <f>(((avgHops-1+5)*minLastMileLatency) + ((avgHops-1)*proximityFavoringFactor*(latency10p-minLastMileLatency)+5*(latency90p-minLastMileLatency))*(1-(1-POWER(1+latencyGrowth,A327))))/1000</f>
        <v>0.59592402304149528</v>
      </c>
      <c r="D327" s="91">
        <f>(B327 - C327)*(avgRelayBandwidth*ongoingResourceRatio90p*POWER(1+bandwidthGrowth,A327)*mbToGB*1000)/(compactBlockCompactedness+missingTransactionRate)</f>
        <v>442.15175885866557</v>
      </c>
      <c r="E327" s="91">
        <f>(B327 - C327)*avgTrSize*(avgRelayValidationSpeed*ongoingResourceRatio90p*POWER(1+cpuGrowth,A327))/missingTransactionRate/1000/1000</f>
        <v>70.412730267339541</v>
      </c>
      <c r="F327" s="91">
        <f t="shared" si="34"/>
        <v>70.412730267339541</v>
      </c>
      <c r="G327" s="6">
        <f t="shared" si="35"/>
        <v>247.06221146434928</v>
      </c>
      <c r="H327" s="115">
        <f>F327*1000*(missingTransactionRate+compactBlockCompactedness)/(avgRelayBandwidth*ongoingResourceRatio90p*POWER(1+bandwidthGrowth,A327)*mbToGB*KBperGB)</f>
        <v>0.287299355034278</v>
      </c>
      <c r="I327" s="116">
        <f>(F327*missingTransactionRate*1000*1000/avgTrSize)/(avgRelayValidationSpeed*ongoingResourceRatio90p*POWER(1+cpuGrowth,A327))</f>
        <v>1.8040759769585049</v>
      </c>
      <c r="J327" s="159">
        <f t="shared" si="36"/>
        <v>2.4000000000000004</v>
      </c>
    </row>
    <row r="328" spans="1:10" s="78" customFormat="1" x14ac:dyDescent="0.25">
      <c r="A328" s="78">
        <v>10</v>
      </c>
      <c r="B328" s="113">
        <f>secondsPerBlock*maximumMinerAdvantage/targetMinerPercentHashpower</f>
        <v>2.4</v>
      </c>
      <c r="C328" s="151">
        <f>(((avgHops-1+5)*minLastMileLatency) + ((avgHops-1)*proximityFavoringFactor*(latency10p-minLastMileLatency)+5*(latency90p-minLastMileLatency))*(1-(1-POWER(1+latencyGrowth,A328))))/1000</f>
        <v>0.58093850834130334</v>
      </c>
      <c r="D328" s="91">
        <f>(B328 - C328)*(avgRelayBandwidth*ongoingResourceRatio90p*POWER(1+bandwidthGrowth,A328)*mbToGB*1000)/(compactBlockCompactedness+missingTransactionRate)</f>
        <v>557.28060256429285</v>
      </c>
      <c r="E328" s="91">
        <f>(B328 - C328)*avgTrSize*(avgRelayValidationSpeed*ongoingResourceRatio90p*POWER(1+cpuGrowth,A328))/missingTransactionRate/1000/1000</f>
        <v>83.067205988926389</v>
      </c>
      <c r="F328" s="91">
        <f t="shared" si="34"/>
        <v>83.067205988926389</v>
      </c>
      <c r="G328" s="6">
        <f t="shared" si="35"/>
        <v>291.46388066289967</v>
      </c>
      <c r="H328" s="115">
        <f>F328*1000*(missingTransactionRate+compactBlockCompactedness)/(avgRelayBandwidth*ongoingResourceRatio90p*POWER(1+bandwidthGrowth,A328)*mbToGB*KBperGB)</f>
        <v>0.27114590915032599</v>
      </c>
      <c r="I328" s="116">
        <f>(F328*missingTransactionRate*1000*1000/avgTrSize)/(avgRelayValidationSpeed*ongoingResourceRatio90p*POWER(1+cpuGrowth,A328))</f>
        <v>1.8190614916586969</v>
      </c>
      <c r="J328" s="159">
        <f t="shared" si="36"/>
        <v>2.4000000000000004</v>
      </c>
    </row>
    <row r="329" spans="1:10" s="78" customFormat="1" x14ac:dyDescent="0.25">
      <c r="A329" s="78">
        <v>11</v>
      </c>
      <c r="B329" s="113">
        <f>secondsPerBlock*maximumMinerAdvantage/targetMinerPercentHashpower</f>
        <v>2.4</v>
      </c>
      <c r="C329" s="151">
        <f>(((avgHops-1+5)*minLastMileLatency) + ((avgHops-1)*proximityFavoringFactor*(latency10p-minLastMileLatency)+5*(latency90p-minLastMileLatency))*(1-(1-POWER(1+latencyGrowth,A329))))/1000</f>
        <v>0.56640255908211701</v>
      </c>
      <c r="D329" s="91">
        <f>(B329 - C329)*(avgRelayBandwidth*ongoingResourceRatio90p*POWER(1+bandwidthGrowth,A329)*mbToGB*1000)/(compactBlockCompactedness+missingTransactionRate)</f>
        <v>702.16722429440597</v>
      </c>
      <c r="E329" s="91">
        <f>(B329 - C329)*avgTrSize*(avgRelayValidationSpeed*ongoingResourceRatio90p*POWER(1+cpuGrowth,A329))/missingTransactionRate/1000/1000</f>
        <v>97.965256214804157</v>
      </c>
      <c r="F329" s="91">
        <f t="shared" si="34"/>
        <v>97.965256214804157</v>
      </c>
      <c r="G329" s="6">
        <f t="shared" si="35"/>
        <v>343.73774110457595</v>
      </c>
      <c r="H329" s="115">
        <f>F329*1000*(missingTransactionRate+compactBlockCompactedness)/(avgRelayBandwidth*ongoingResourceRatio90p*POWER(1+bandwidthGrowth,A329)*mbToGB*KBperGB)</f>
        <v>0.25582060352480152</v>
      </c>
      <c r="I329" s="116">
        <f>(F329*missingTransactionRate*1000*1000/avgTrSize)/(avgRelayValidationSpeed*ongoingResourceRatio90p*POWER(1+cpuGrowth,A329))</f>
        <v>1.833597440917883</v>
      </c>
      <c r="J329" s="159">
        <f t="shared" si="36"/>
        <v>2.4</v>
      </c>
    </row>
    <row r="330" spans="1:10" s="78" customFormat="1" x14ac:dyDescent="0.25">
      <c r="A330" s="78">
        <v>12</v>
      </c>
      <c r="B330" s="113">
        <f>secondsPerBlock*maximumMinerAdvantage/targetMinerPercentHashpower</f>
        <v>2.4</v>
      </c>
      <c r="C330" s="151">
        <f>(((avgHops-1+5)*minLastMileLatency) + ((avgHops-1)*proximityFavoringFactor*(latency10p-minLastMileLatency)+5*(latency90p-minLastMileLatency))*(1-(1-POWER(1+latencyGrowth,A330))))/1000</f>
        <v>0.55230268830070617</v>
      </c>
      <c r="D330" s="91">
        <f>(B330 - C330)*(avgRelayBandwidth*ongoingResourceRatio90p*POWER(1+bandwidthGrowth,A330)*mbToGB*1000)/(compactBlockCompactedness+missingTransactionRate)</f>
        <v>884.45837656346862</v>
      </c>
      <c r="E330" s="91">
        <f>(B330 - C330)*avgTrSize*(avgRelayValidationSpeed*ongoingResourceRatio90p*POWER(1+cpuGrowth,A330))/missingTransactionRate/1000/1000</f>
        <v>115.50074171960797</v>
      </c>
      <c r="F330" s="91">
        <f t="shared" si="34"/>
        <v>115.50074171960797</v>
      </c>
      <c r="G330" s="6">
        <f t="shared" si="35"/>
        <v>405.26576041967712</v>
      </c>
      <c r="H330" s="115">
        <f>F330*1000*(missingTransactionRate+compactBlockCompactedness)/(avgRelayBandwidth*ongoingResourceRatio90p*POWER(1+bandwidthGrowth,A330)*mbToGB*KBperGB)</f>
        <v>0.24128937622117691</v>
      </c>
      <c r="I330" s="116">
        <f>(F330*missingTransactionRate*1000*1000/avgTrSize)/(avgRelayValidationSpeed*ongoingResourceRatio90p*POWER(1+cpuGrowth,A330))</f>
        <v>1.8476973116992936</v>
      </c>
      <c r="J330" s="159">
        <f t="shared" si="36"/>
        <v>2.4</v>
      </c>
    </row>
    <row r="331" spans="1:10" s="78" customFormat="1" x14ac:dyDescent="0.25">
      <c r="A331" s="78">
        <v>13</v>
      </c>
      <c r="B331" s="113">
        <f>secondsPerBlock*maximumMinerAdvantage/targetMinerPercentHashpower</f>
        <v>2.4</v>
      </c>
      <c r="C331" s="151">
        <f>(((avgHops-1+5)*minLastMileLatency) + ((avgHops-1)*proximityFavoringFactor*(latency10p-minLastMileLatency)+5*(latency90p-minLastMileLatency))*(1-(1-POWER(1+latencyGrowth,A331))))/1000</f>
        <v>0.53862581364273787</v>
      </c>
      <c r="D331" s="91">
        <f>(B331 - C331)*(avgRelayBandwidth*ongoingResourceRatio90p*POWER(1+bandwidthGrowth,A331)*mbToGB*1000)/(compactBlockCompactedness+missingTransactionRate)</f>
        <v>1113.7565529663323</v>
      </c>
      <c r="E331" s="91">
        <f>(B331 - C331)*avgTrSize*(avgRelayValidationSpeed*ongoingResourceRatio90p*POWER(1+cpuGrowth,A331))/missingTransactionRate/1000/1000</f>
        <v>136.13615953405241</v>
      </c>
      <c r="F331" s="91">
        <f t="shared" si="34"/>
        <v>136.13615953405241</v>
      </c>
      <c r="G331" s="6">
        <f t="shared" si="35"/>
        <v>477.67073520720152</v>
      </c>
      <c r="H331" s="115">
        <f>F331*1000*(missingTransactionRate+compactBlockCompactedness)/(avgRelayBandwidth*ongoingResourceRatio90p*POWER(1+bandwidthGrowth,A331)*mbToGB*KBperGB)</f>
        <v>0.22751860136005797</v>
      </c>
      <c r="I331" s="116">
        <f>(F331*missingTransactionRate*1000*1000/avgTrSize)/(avgRelayValidationSpeed*ongoingResourceRatio90p*POWER(1+cpuGrowth,A331))</f>
        <v>1.8613741863572617</v>
      </c>
      <c r="J331" s="159">
        <f t="shared" si="36"/>
        <v>2.3999999999999995</v>
      </c>
    </row>
    <row r="332" spans="1:10" s="78" customFormat="1" x14ac:dyDescent="0.25">
      <c r="A332" s="78">
        <v>14</v>
      </c>
      <c r="B332" s="113">
        <f>secondsPerBlock*maximumMinerAdvantage/targetMinerPercentHashpower</f>
        <v>2.4</v>
      </c>
      <c r="C332" s="151">
        <f>(((avgHops-1+5)*minLastMileLatency) + ((avgHops-1)*proximityFavoringFactor*(latency10p-minLastMileLatency)+5*(latency90p-minLastMileLatency))*(1-(1-POWER(1+latencyGrowth,A332))))/1000</f>
        <v>0.5253592452245085</v>
      </c>
      <c r="D332" s="91">
        <f>(B332 - C332)*(avgRelayBandwidth*ongoingResourceRatio90p*POWER(1+bandwidthGrowth,A332)*mbToGB*1000)/(compactBlockCompactedness+missingTransactionRate)</f>
        <v>1402.1182847005859</v>
      </c>
      <c r="E332" s="91">
        <f>(B332 - C332)*avgTrSize*(avgRelayValidationSpeed*ongoingResourceRatio90p*POWER(1+cpuGrowth,A332))/missingTransactionRate/1000/1000</f>
        <v>160.41453773026524</v>
      </c>
      <c r="F332" s="91">
        <f t="shared" si="34"/>
        <v>160.41453773026524</v>
      </c>
      <c r="G332" s="6">
        <f t="shared" si="35"/>
        <v>562.85802712373766</v>
      </c>
      <c r="H332" s="115">
        <f>F332*1000*(missingTransactionRate+compactBlockCompactedness)/(avgRelayBandwidth*ongoingResourceRatio90p*POWER(1+bandwidthGrowth,A332)*mbToGB*KBperGB)</f>
        <v>0.21447522179046602</v>
      </c>
      <c r="I332" s="116">
        <f>(F332*missingTransactionRate*1000*1000/avgTrSize)/(avgRelayValidationSpeed*ongoingResourceRatio90p*POWER(1+cpuGrowth,A332))</f>
        <v>1.8746407547754917</v>
      </c>
      <c r="J332" s="159">
        <f t="shared" si="36"/>
        <v>2.4000000000000004</v>
      </c>
    </row>
    <row r="333" spans="1:10" s="78" customFormat="1" x14ac:dyDescent="0.25">
      <c r="A333" s="78">
        <v>15</v>
      </c>
      <c r="B333" s="113">
        <f>secondsPerBlock*maximumMinerAdvantage/targetMinerPercentHashpower</f>
        <v>2.4</v>
      </c>
      <c r="C333" s="151">
        <f>(((avgHops-1+5)*minLastMileLatency) + ((avgHops-1)*proximityFavoringFactor*(latency10p-minLastMileLatency)+5*(latency90p-minLastMileLatency))*(1-(1-POWER(1+latencyGrowth,A333))))/1000</f>
        <v>0.51249067385882607</v>
      </c>
      <c r="D333" s="91">
        <f>(B333 - C333)*(avgRelayBandwidth*ongoingResourceRatio90p*POWER(1+bandwidthGrowth,A333)*mbToGB*1000)/(compactBlockCompactedness+missingTransactionRate)</f>
        <v>1764.6790004855957</v>
      </c>
      <c r="E333" s="91">
        <f>(B333 - C333)*avgTrSize*(avgRelayValidationSpeed*ongoingResourceRatio90p*POWER(1+cpuGrowth,A333))/missingTransactionRate/1000/1000</f>
        <v>188.97338289190878</v>
      </c>
      <c r="F333" s="91">
        <f t="shared" si="34"/>
        <v>188.97338289190878</v>
      </c>
      <c r="G333" s="6">
        <f t="shared" si="35"/>
        <v>663.06450137511865</v>
      </c>
      <c r="H333" s="115">
        <f>F333*1000*(missingTransactionRate+compactBlockCompactedness)/(avgRelayBandwidth*ongoingResourceRatio90p*POWER(1+bandwidthGrowth,A333)*mbToGB*KBperGB)</f>
        <v>0.20212685848404882</v>
      </c>
      <c r="I333" s="116">
        <f>(F333*missingTransactionRate*1000*1000/avgTrSize)/(avgRelayValidationSpeed*ongoingResourceRatio90p*POWER(1+cpuGrowth,A333))</f>
        <v>1.8875093261411737</v>
      </c>
      <c r="J333" s="159">
        <f t="shared" si="36"/>
        <v>2.4</v>
      </c>
    </row>
    <row r="334" spans="1:10" s="78" customFormat="1" x14ac:dyDescent="0.25">
      <c r="B334" s="113"/>
      <c r="C334" s="8"/>
      <c r="D334" s="116"/>
      <c r="E334" s="115"/>
      <c r="F334" s="115"/>
      <c r="G334" s="117"/>
    </row>
    <row r="335" spans="1:10" s="78" customFormat="1" x14ac:dyDescent="0.25">
      <c r="A335"/>
      <c r="B335" s="126"/>
      <c r="C335" s="127" t="s">
        <v>141</v>
      </c>
      <c r="D335" s="79"/>
      <c r="E335" s="126"/>
      <c r="F335" s="134"/>
      <c r="G335" s="127" t="s">
        <v>132</v>
      </c>
      <c r="H335" s="79"/>
      <c r="I335" s="126"/>
      <c r="J335" s="136" t="s">
        <v>132</v>
      </c>
    </row>
    <row r="336" spans="1:10" s="78" customFormat="1" x14ac:dyDescent="0.25">
      <c r="A336"/>
      <c r="B336" s="128" t="s">
        <v>122</v>
      </c>
      <c r="C336" s="129" t="s">
        <v>122</v>
      </c>
      <c r="D336" s="79"/>
      <c r="E336" s="128" t="s">
        <v>30</v>
      </c>
      <c r="F336" s="135" t="s">
        <v>95</v>
      </c>
      <c r="G336" s="129" t="s">
        <v>133</v>
      </c>
      <c r="H336" s="79"/>
      <c r="I336" s="128" t="s">
        <v>30</v>
      </c>
      <c r="J336" s="129" t="s">
        <v>134</v>
      </c>
    </row>
    <row r="337" spans="1:10" s="78" customFormat="1" x14ac:dyDescent="0.25">
      <c r="A337"/>
      <c r="B337" s="130">
        <v>40</v>
      </c>
      <c r="C337" s="131">
        <f>(avgHops-1+5)*B337/1000</f>
        <v>0.25708497698247207</v>
      </c>
      <c r="D337"/>
      <c r="E337" s="137">
        <v>2000</v>
      </c>
      <c r="F337" s="139">
        <v>100</v>
      </c>
      <c r="G337" s="131">
        <f>(E337*missingTransactionRate*1000/avgTrSize)/(F337*ongoingResourceRatio90p)</f>
        <v>4.2105263157894743</v>
      </c>
      <c r="H337"/>
      <c r="I337" s="137">
        <v>1000</v>
      </c>
      <c r="J337" s="131">
        <f>I337*(missingTransactionRate+compactBlockCompactedness)/(avgRelayBandwidth*0.1*mbToGB*KBperGB)</f>
        <v>3.04E-2</v>
      </c>
    </row>
    <row r="338" spans="1:10" s="78" customFormat="1" x14ac:dyDescent="0.25">
      <c r="A338"/>
      <c r="B338" s="130">
        <v>60</v>
      </c>
      <c r="C338" s="131">
        <f t="shared" ref="C338:C347" si="37">(avgHops-1+5)*B338/1000</f>
        <v>0.38562746547370813</v>
      </c>
      <c r="D338"/>
      <c r="E338" s="137">
        <v>2000</v>
      </c>
      <c r="F338" s="139">
        <v>200</v>
      </c>
      <c r="G338" s="131">
        <f>(E338*missingTransactionRate*1000/avgTrSize)/(F338*ongoingResourceRatio90p)</f>
        <v>2.1052631578947372</v>
      </c>
      <c r="H338"/>
      <c r="I338" s="137">
        <v>5000</v>
      </c>
      <c r="J338" s="131">
        <f t="shared" ref="J338:J347" si="38">I338*(missingTransactionRate+compactBlockCompactedness)/(avgRelayBandwidth*0.1*mbToGB*KBperGB)</f>
        <v>0.152</v>
      </c>
    </row>
    <row r="339" spans="1:10" s="78" customFormat="1" x14ac:dyDescent="0.25">
      <c r="A339"/>
      <c r="B339" s="130">
        <v>80</v>
      </c>
      <c r="C339" s="131">
        <f t="shared" si="37"/>
        <v>0.51416995396494414</v>
      </c>
      <c r="D339"/>
      <c r="E339" s="137">
        <v>2000</v>
      </c>
      <c r="F339" s="139">
        <v>500</v>
      </c>
      <c r="G339" s="131">
        <f>(E339*missingTransactionRate*1000/avgTrSize)/(F339*ongoingResourceRatio90p)</f>
        <v>0.8421052631578948</v>
      </c>
      <c r="H339"/>
      <c r="I339" s="137">
        <v>10000</v>
      </c>
      <c r="J339" s="131">
        <f t="shared" si="38"/>
        <v>0.30399999999999999</v>
      </c>
    </row>
    <row r="340" spans="1:10" s="78" customFormat="1" x14ac:dyDescent="0.25">
      <c r="A340"/>
      <c r="B340" s="130">
        <v>100</v>
      </c>
      <c r="C340" s="131">
        <f t="shared" si="37"/>
        <v>0.6427124424561802</v>
      </c>
      <c r="D340"/>
      <c r="E340" s="137">
        <v>2000</v>
      </c>
      <c r="F340" s="139">
        <v>1000</v>
      </c>
      <c r="G340" s="131">
        <f>(E340*missingTransactionRate*1000/avgTrSize)/(F340*ongoingResourceRatio90p)</f>
        <v>0.4210526315789474</v>
      </c>
      <c r="H340"/>
      <c r="I340" s="137">
        <v>15000</v>
      </c>
      <c r="J340" s="131">
        <f t="shared" si="38"/>
        <v>0.45600000000000002</v>
      </c>
    </row>
    <row r="341" spans="1:10" s="78" customFormat="1" x14ac:dyDescent="0.25">
      <c r="A341"/>
      <c r="B341" s="130">
        <v>120</v>
      </c>
      <c r="C341" s="131">
        <f t="shared" si="37"/>
        <v>0.77125493094741626</v>
      </c>
      <c r="D341"/>
      <c r="E341" s="138">
        <v>2000</v>
      </c>
      <c r="F341" s="140">
        <v>2000</v>
      </c>
      <c r="G341" s="133">
        <f>(E341*missingTransactionRate*1000/avgTrSize)/(F341*ongoingResourceRatio90p)</f>
        <v>0.2105263157894737</v>
      </c>
      <c r="H341"/>
      <c r="I341" s="137">
        <v>20000</v>
      </c>
      <c r="J341" s="131">
        <f t="shared" si="38"/>
        <v>0.60799999999999998</v>
      </c>
    </row>
    <row r="342" spans="1:10" s="78" customFormat="1" x14ac:dyDescent="0.25">
      <c r="A342"/>
      <c r="B342" s="130">
        <v>140</v>
      </c>
      <c r="C342" s="131">
        <f t="shared" si="37"/>
        <v>0.89979741943865221</v>
      </c>
      <c r="D342"/>
      <c r="E342" s="137">
        <v>20000</v>
      </c>
      <c r="F342" s="139">
        <v>5000</v>
      </c>
      <c r="G342" s="131">
        <f>(E342*missingTransactionRate*1000/avgTrSize)/(F342*ongoingResourceRatio90p)</f>
        <v>0.84210526315789469</v>
      </c>
      <c r="H342"/>
      <c r="I342" s="137">
        <v>25000</v>
      </c>
      <c r="J342" s="131">
        <f t="shared" si="38"/>
        <v>0.76</v>
      </c>
    </row>
    <row r="343" spans="1:10" s="78" customFormat="1" x14ac:dyDescent="0.25">
      <c r="A343"/>
      <c r="B343" s="130">
        <v>160</v>
      </c>
      <c r="C343" s="131">
        <f t="shared" si="37"/>
        <v>1.0283399079298883</v>
      </c>
      <c r="D343"/>
      <c r="E343" s="137">
        <v>20000</v>
      </c>
      <c r="F343" s="139">
        <v>10000</v>
      </c>
      <c r="G343" s="131">
        <f>(E343*missingTransactionRate*1000/avgTrSize)/(F343*ongoingResourceRatio90p)</f>
        <v>0.42105263157894735</v>
      </c>
      <c r="H343"/>
      <c r="I343" s="137">
        <v>30000</v>
      </c>
      <c r="J343" s="131">
        <f t="shared" si="38"/>
        <v>0.91200000000000003</v>
      </c>
    </row>
    <row r="344" spans="1:10" s="78" customFormat="1" x14ac:dyDescent="0.25">
      <c r="A344"/>
      <c r="B344" s="130">
        <v>180</v>
      </c>
      <c r="C344" s="131">
        <f t="shared" si="37"/>
        <v>1.1568823964211241</v>
      </c>
      <c r="D344"/>
      <c r="E344" s="137">
        <v>20000</v>
      </c>
      <c r="F344" s="139">
        <v>20000</v>
      </c>
      <c r="G344" s="131">
        <f>(E344*missingTransactionRate*1000/avgTrSize)/(F344*ongoingResourceRatio90p)</f>
        <v>0.21052631578947367</v>
      </c>
      <c r="H344"/>
      <c r="I344" s="137">
        <v>35000</v>
      </c>
      <c r="J344" s="131">
        <f t="shared" si="38"/>
        <v>1.0640000000000001</v>
      </c>
    </row>
    <row r="345" spans="1:10" s="78" customFormat="1" x14ac:dyDescent="0.25">
      <c r="A345"/>
      <c r="B345" s="130">
        <v>200</v>
      </c>
      <c r="C345" s="131">
        <f t="shared" si="37"/>
        <v>1.2854248849123604</v>
      </c>
      <c r="D345"/>
      <c r="E345" s="137">
        <v>20000</v>
      </c>
      <c r="F345" s="139">
        <v>50000</v>
      </c>
      <c r="G345" s="131">
        <f>(E345*missingTransactionRate*1000/avgTrSize)/(F345*ongoingResourceRatio90p)</f>
        <v>8.4210526315789472E-2</v>
      </c>
      <c r="H345"/>
      <c r="I345" s="137">
        <v>40000</v>
      </c>
      <c r="J345" s="131">
        <f t="shared" si="38"/>
        <v>1.216</v>
      </c>
    </row>
    <row r="346" spans="1:10" s="78" customFormat="1" x14ac:dyDescent="0.25">
      <c r="A346"/>
      <c r="B346" s="130">
        <v>220</v>
      </c>
      <c r="C346" s="131">
        <f t="shared" si="37"/>
        <v>1.4139673734035965</v>
      </c>
      <c r="D346"/>
      <c r="E346" s="137">
        <v>20000</v>
      </c>
      <c r="F346" s="139">
        <v>100000</v>
      </c>
      <c r="G346" s="131">
        <f>(E346*missingTransactionRate*1000/avgTrSize)/(F346*ongoingResourceRatio90p)</f>
        <v>4.2105263157894736E-2</v>
      </c>
      <c r="H346"/>
      <c r="I346" s="137">
        <v>45000</v>
      </c>
      <c r="J346" s="131">
        <f t="shared" si="38"/>
        <v>1.3680000000000001</v>
      </c>
    </row>
    <row r="347" spans="1:10" s="78" customFormat="1" x14ac:dyDescent="0.25">
      <c r="A347"/>
      <c r="B347" s="132">
        <v>240</v>
      </c>
      <c r="C347" s="133">
        <f t="shared" si="37"/>
        <v>1.5425098618948325</v>
      </c>
      <c r="D347"/>
      <c r="E347" s="138">
        <v>20000</v>
      </c>
      <c r="F347" s="140">
        <v>200000</v>
      </c>
      <c r="G347" s="133">
        <f>(E347*missingTransactionRate*1000/avgTrSize)/(F347*ongoingResourceRatio90p)</f>
        <v>2.1052631578947368E-2</v>
      </c>
      <c r="H347"/>
      <c r="I347" s="138">
        <v>50000</v>
      </c>
      <c r="J347" s="133">
        <f t="shared" si="38"/>
        <v>1.52</v>
      </c>
    </row>
    <row r="348" spans="1:10" s="78" customFormat="1" x14ac:dyDescent="0.25">
      <c r="B348" s="31"/>
      <c r="C348" s="7"/>
      <c r="D348" s="75"/>
      <c r="E348" s="31"/>
    </row>
    <row r="349" spans="1:10" s="78" customFormat="1" x14ac:dyDescent="0.25">
      <c r="A349" s="9" t="s">
        <v>159</v>
      </c>
      <c r="B349" s="31"/>
      <c r="C349" s="7"/>
      <c r="D349" s="75"/>
      <c r="E349" s="31"/>
    </row>
    <row r="350" spans="1:10" s="78" customFormat="1" x14ac:dyDescent="0.25">
      <c r="A350" s="145"/>
      <c r="B350" s="145"/>
      <c r="C350" s="145"/>
      <c r="F350" s="79"/>
      <c r="H350" s="79"/>
    </row>
    <row r="351" spans="1:10" s="78" customFormat="1" x14ac:dyDescent="0.25">
      <c r="A351" s="79" t="s">
        <v>152</v>
      </c>
      <c r="B351" s="142" t="s">
        <v>171</v>
      </c>
      <c r="C351" s="79" t="s">
        <v>124</v>
      </c>
      <c r="D351"/>
      <c r="E351"/>
      <c r="F351"/>
      <c r="G351"/>
      <c r="H351"/>
    </row>
    <row r="352" spans="1:10" s="78" customFormat="1" x14ac:dyDescent="0.25">
      <c r="A352" s="107" t="s">
        <v>153</v>
      </c>
      <c r="B352" s="142" t="s">
        <v>54</v>
      </c>
      <c r="C352" s="79" t="s">
        <v>127</v>
      </c>
      <c r="D352"/>
      <c r="E352" s="153"/>
      <c r="F352" s="179"/>
      <c r="G352"/>
      <c r="H352"/>
    </row>
    <row r="353" spans="1:10" s="78" customFormat="1" x14ac:dyDescent="0.25">
      <c r="A353" s="176">
        <f>0.5*16/(16+curUsers*0.1)</f>
        <v>0.47904191616766467</v>
      </c>
      <c r="B353" s="177">
        <f>(1-sybilPercenta)*0.1*(outgoingConnections10p + minPublicNodeConnections)</f>
        <v>4.5844311377245512</v>
      </c>
      <c r="C353" s="178">
        <f>(1/2)*LOG(0.1*curUsers*1000*1000)/MAX(0,LOG(B353))</f>
        <v>4.4194969116638338</v>
      </c>
      <c r="D353"/>
      <c r="E353"/>
      <c r="F353"/>
      <c r="G353"/>
      <c r="H353"/>
    </row>
    <row r="354" spans="1:10" s="78" customFormat="1" x14ac:dyDescent="0.25">
      <c r="C354" s="7"/>
      <c r="D354" s="75"/>
      <c r="E354" s="31"/>
    </row>
    <row r="355" spans="1:10" s="78" customFormat="1" x14ac:dyDescent="0.25">
      <c r="B355" s="107" t="s">
        <v>142</v>
      </c>
      <c r="D355" s="142" t="s">
        <v>131</v>
      </c>
      <c r="E355" s="142" t="s">
        <v>131</v>
      </c>
      <c r="H355" s="75"/>
      <c r="I355" s="31"/>
      <c r="J355" s="86" t="s">
        <v>143</v>
      </c>
    </row>
    <row r="356" spans="1:10" s="78" customFormat="1" x14ac:dyDescent="0.25">
      <c r="B356" s="142" t="s">
        <v>143</v>
      </c>
      <c r="C356" s="107" t="s">
        <v>132</v>
      </c>
      <c r="D356" s="142" t="s">
        <v>30</v>
      </c>
      <c r="E356" s="142" t="s">
        <v>30</v>
      </c>
      <c r="F356" s="142" t="s">
        <v>131</v>
      </c>
      <c r="G356" s="142" t="s">
        <v>28</v>
      </c>
      <c r="H356" s="107" t="s">
        <v>132</v>
      </c>
      <c r="I356" s="107" t="s">
        <v>132</v>
      </c>
      <c r="J356" s="86" t="s">
        <v>167</v>
      </c>
    </row>
    <row r="357" spans="1:10" s="78" customFormat="1" x14ac:dyDescent="0.25">
      <c r="A357" s="141" t="s">
        <v>7</v>
      </c>
      <c r="B357" s="142" t="s">
        <v>144</v>
      </c>
      <c r="C357" s="142" t="s">
        <v>135</v>
      </c>
      <c r="D357" s="142" t="s">
        <v>162</v>
      </c>
      <c r="E357" s="142" t="s">
        <v>163</v>
      </c>
      <c r="F357" s="142" t="s">
        <v>30</v>
      </c>
      <c r="G357" s="142" t="s">
        <v>65</v>
      </c>
      <c r="H357" s="142" t="s">
        <v>134</v>
      </c>
      <c r="I357" s="142" t="s">
        <v>133</v>
      </c>
      <c r="J357" s="158" t="s">
        <v>166</v>
      </c>
    </row>
    <row r="358" spans="1:10" s="78" customFormat="1" x14ac:dyDescent="0.25">
      <c r="A358" s="78">
        <v>0</v>
      </c>
      <c r="B358" s="113">
        <f>secondsPerBlock*maximumMinerAdvantage/targetMinerPercentHashpower</f>
        <v>2.4</v>
      </c>
      <c r="C358" s="151">
        <f>(((avgHops19-1+5)*minLastMileLatency) + ((avgHops19-1)*proximityFavoringFactor*(latency10p-minLastMileLatency)+5*(latency90p-minLastMileLatency))*(1-(1-POWER(1+latencyGrowth,A358))))/1000</f>
        <v>0.89791352609562791</v>
      </c>
      <c r="D358" s="91">
        <f>(B358 - C358)*(avgRelayBandwidth*ongoingResourceRatio90p*POWER(1+bandwidthGrowth,A358)*mbToGB*1000)/(compactBlockCompactedness+missingTransactionRate)</f>
        <v>49.41073927317013</v>
      </c>
      <c r="E358" s="91">
        <f>(B358 - C358)*avgTrSize*(avgRelayValidationSpeed*ongoingResourceRatio90p*POWER(1+cpuGrowth,A358))/missingTransactionRate/1000/1000</f>
        <v>14.269821502091535</v>
      </c>
      <c r="F358" s="91">
        <f>MIN(D358,E358)</f>
        <v>14.269821502091535</v>
      </c>
      <c r="G358" s="6">
        <f>F358*1000*1000/secondsPerBlock/avgTrSize</f>
        <v>50.069549130145738</v>
      </c>
      <c r="H358" s="115">
        <f>F358*(missingTransactionRate+compactBlockCompactedness)/(avgRelayBandwidth*ongoingResourceRatio90p*POWER(1+bandwidthGrowth,A358)*mbToGB*1000)</f>
        <v>0.4338025736635826</v>
      </c>
      <c r="I358" s="116">
        <f>(F358*missingTransactionRate*1000*1000/avgTrSize)/(avgRelayValidationSpeed*ongoingResourceRatio90p*POWER(1+cpuGrowth,A358))</f>
        <v>1.5020864739043722</v>
      </c>
      <c r="J358" s="159">
        <f>MAX(H358,I358)+C358</f>
        <v>2.4000000000000004</v>
      </c>
    </row>
    <row r="359" spans="1:10" s="78" customFormat="1" x14ac:dyDescent="0.25">
      <c r="A359" s="78">
        <v>1</v>
      </c>
      <c r="B359" s="113">
        <f>secondsPerBlock*maximumMinerAdvantage/targetMinerPercentHashpower</f>
        <v>2.4</v>
      </c>
      <c r="C359" s="151">
        <f>(((avgHops19-1+5)*minLastMileLatency) + ((avgHops19-1)*proximityFavoringFactor*(latency10p-minLastMileLatency)+5*(latency90p-minLastMileLatency))*(1-(1-POWER(1+latencyGrowth,A359))))/1000</f>
        <v>0.87476489392300782</v>
      </c>
      <c r="D359" s="91">
        <f>(B359 - C359)*(avgRelayBandwidth*ongoingResourceRatio90p*POWER(1+bandwidthGrowth,A359)*mbToGB*1000)/(compactBlockCompactedness+missingTransactionRate)</f>
        <v>62.715259295928945</v>
      </c>
      <c r="E359" s="91">
        <f>(B359 - C359)*avgTrSize*(avgRelayValidationSpeed*ongoingResourceRatio90p*POWER(1+cpuGrowth,A359))/missingTransactionRate/1000/1000</f>
        <v>16.952988204045766</v>
      </c>
      <c r="F359" s="91">
        <f t="shared" ref="F359:F373" si="39">MIN(D359,E359)</f>
        <v>16.952988204045766</v>
      </c>
      <c r="G359" s="6">
        <f>F359*1000*1000/secondsPerBlock/avgTrSize</f>
        <v>59.484169137002688</v>
      </c>
      <c r="H359" s="115">
        <f>F359*(missingTransactionRate+compactBlockCompactedness)/(avgRelayBandwidth*ongoingResourceRatio90p*POWER(1+bandwidthGrowth,A359)*mbToGB*1000)</f>
        <v>0.41229667312239299</v>
      </c>
      <c r="I359" s="116">
        <f>(F359*missingTransactionRate*1000*1000/avgTrSize)/(avgRelayValidationSpeed*ongoingResourceRatio90p*POWER(1+cpuGrowth,A359))</f>
        <v>1.525235106076992</v>
      </c>
      <c r="J359" s="159">
        <f t="shared" ref="J359:J373" si="40">MAX(H359,I359)+C359</f>
        <v>2.4</v>
      </c>
    </row>
    <row r="360" spans="1:10" s="78" customFormat="1" x14ac:dyDescent="0.25">
      <c r="A360" s="78">
        <v>2</v>
      </c>
      <c r="B360" s="113">
        <f t="shared" ref="B360:B373" si="41">secondsPerBlock*maximumMinerAdvantage/targetMinerPercentHashpower</f>
        <v>2.4</v>
      </c>
      <c r="C360" s="151">
        <f>(((avgHops19-1+5)*minLastMileLatency) + ((avgHops19-1)*proximityFavoringFactor*(latency10p-minLastMileLatency)+5*(latency90p-minLastMileLatency))*(1-(1-POWER(1+latencyGrowth,A360))))/1000</f>
        <v>0.85231072071556624</v>
      </c>
      <c r="D360" s="91">
        <f>(B360 - C360)*(avgRelayBandwidth*ongoingResourceRatio90p*POWER(1+bandwidthGrowth,A360)*mbToGB*1000)/(compactBlockCompactedness+missingTransactionRate)</f>
        <v>79.548174305326569</v>
      </c>
      <c r="E360" s="91">
        <f>(B360 - C360)*avgTrSize*(avgRelayValidationSpeed*ongoingResourceRatio90p*POWER(1+cpuGrowth,A360))/missingTransactionRate/1000/1000</f>
        <v>20.127002616918375</v>
      </c>
      <c r="F360" s="91">
        <f t="shared" si="39"/>
        <v>20.127002616918375</v>
      </c>
      <c r="G360" s="6">
        <f>F360*1000*1000/secondsPerBlock/avgTrSize</f>
        <v>70.621061813748696</v>
      </c>
      <c r="H360" s="115">
        <f>F360*(missingTransactionRate+compactBlockCompactedness)/(avgRelayBandwidth*ongoingResourceRatio90p*POWER(1+bandwidthGrowth,A360)*mbToGB*1000)</f>
        <v>0.39159096291476392</v>
      </c>
      <c r="I360" s="116">
        <f>(F360*missingTransactionRate*1000*1000/avgTrSize)/(avgRelayValidationSpeed*ongoingResourceRatio90p*POWER(1+cpuGrowth,A360))</f>
        <v>1.5476892792844335</v>
      </c>
      <c r="J360" s="159">
        <f t="shared" si="40"/>
        <v>2.3999999999999995</v>
      </c>
    </row>
    <row r="361" spans="1:10" s="78" customFormat="1" x14ac:dyDescent="0.25">
      <c r="A361" s="78">
        <v>3</v>
      </c>
      <c r="B361" s="113">
        <f t="shared" si="41"/>
        <v>2.4</v>
      </c>
      <c r="C361" s="151">
        <f>(((avgHops19-1+5)*minLastMileLatency) + ((avgHops19-1)*proximityFavoringFactor*(latency10p-minLastMileLatency)+5*(latency90p-minLastMileLatency))*(1-(1-POWER(1+latencyGrowth,A361))))/1000</f>
        <v>0.83053017270434804</v>
      </c>
      <c r="D361" s="91">
        <f>(B361 - C361)*(avgRelayBandwidth*ongoingResourceRatio90p*POWER(1+bandwidthGrowth,A361)*mbToGB*1000)/(compactBlockCompactedness+missingTransactionRate)</f>
        <v>100.83456435647433</v>
      </c>
      <c r="E361" s="91">
        <f>(B361 - C361)*avgTrSize*(avgRelayValidationSpeed*ongoingResourceRatio90p*POWER(1+cpuGrowth,A361))/missingTransactionRate/1000/1000</f>
        <v>23.879991145792467</v>
      </c>
      <c r="F361" s="91">
        <f t="shared" si="39"/>
        <v>23.879991145792467</v>
      </c>
      <c r="G361" s="6">
        <f>F361*1000*1000/secondsPerBlock/avgTrSize</f>
        <v>83.789442616815691</v>
      </c>
      <c r="H361" s="115">
        <f>F361*(missingTransactionRate+compactBlockCompactedness)/(avgRelayBandwidth*ongoingResourceRatio90p*POWER(1+bandwidthGrowth,A361)*mbToGB*1000)</f>
        <v>0.37168728618603059</v>
      </c>
      <c r="I361" s="116">
        <f>(F361*missingTransactionRate*1000*1000/avgTrSize)/(avgRelayValidationSpeed*ongoingResourceRatio90p*POWER(1+cpuGrowth,A361))</f>
        <v>1.5694698272956518</v>
      </c>
      <c r="J361" s="159">
        <f t="shared" si="40"/>
        <v>2.4</v>
      </c>
    </row>
    <row r="362" spans="1:10" s="78" customFormat="1" x14ac:dyDescent="0.25">
      <c r="A362" s="78">
        <v>4</v>
      </c>
      <c r="B362" s="113">
        <f t="shared" si="41"/>
        <v>2.4</v>
      </c>
      <c r="C362" s="151">
        <f>(((avgHops19-1+5)*minLastMileLatency) + ((avgHops19-1)*proximityFavoringFactor*(latency10p-minLastMileLatency)+5*(latency90p-minLastMileLatency))*(1-(1-POWER(1+latencyGrowth,A362))))/1000</f>
        <v>0.80940304113346628</v>
      </c>
      <c r="D362" s="91">
        <f>(B362 - C362)*(avgRelayBandwidth*ongoingResourceRatio90p*POWER(1+bandwidthGrowth,A362)*mbToGB*1000)/(compactBlockCompactedness+missingTransactionRate)</f>
        <v>127.73991304630749</v>
      </c>
      <c r="E362" s="91">
        <f>(B362 - C362)*avgTrSize*(avgRelayValidationSpeed*ongoingResourceRatio90p*POWER(1+cpuGrowth,A362))/missingTransactionRate/1000/1000</f>
        <v>28.31569332610648</v>
      </c>
      <c r="F362" s="91">
        <f t="shared" si="39"/>
        <v>28.31569332610648</v>
      </c>
      <c r="G362" s="6">
        <f>F362*1000*1000/secondsPerBlock/avgTrSize</f>
        <v>99.353309916163084</v>
      </c>
      <c r="H362" s="115">
        <f>F362*(missingTransactionRate+compactBlockCompactedness)/(avgRelayBandwidth*ongoingResourceRatio90p*POWER(1+bandwidthGrowth,A362)*mbToGB*1000)</f>
        <v>0.35258248278574567</v>
      </c>
      <c r="I362" s="116">
        <f>(F362*missingTransactionRate*1000*1000/avgTrSize)/(avgRelayValidationSpeed*ongoingResourceRatio90p*POWER(1+cpuGrowth,A362))</f>
        <v>1.5905969588665336</v>
      </c>
      <c r="J362" s="159">
        <f t="shared" si="40"/>
        <v>2.4</v>
      </c>
    </row>
    <row r="363" spans="1:10" s="78" customFormat="1" x14ac:dyDescent="0.25">
      <c r="A363" s="78">
        <v>5</v>
      </c>
      <c r="B363" s="113">
        <f t="shared" si="41"/>
        <v>2.4</v>
      </c>
      <c r="C363" s="151">
        <f>(((avgHops19-1+5)*minLastMileLatency) + ((avgHops19-1)*proximityFavoringFactor*(latency10p-minLastMileLatency)+5*(latency90p-minLastMileLatency))*(1-(1-POWER(1+latencyGrowth,A363))))/1000</f>
        <v>0.788909723509711</v>
      </c>
      <c r="D363" s="91">
        <f>(B363 - C363)*(avgRelayBandwidth*ongoingResourceRatio90p*POWER(1+bandwidthGrowth,A363)*mbToGB*1000)/(compactBlockCompactedness+missingTransactionRate)</f>
        <v>161.73214927375079</v>
      </c>
      <c r="E363" s="91">
        <f>(B363 - C363)*avgTrSize*(avgRelayValidationSpeed*ongoingResourceRatio90p*POWER(1+cpuGrowth,A363))/missingTransactionRate/1000/1000</f>
        <v>33.556201264251769</v>
      </c>
      <c r="F363" s="91">
        <f t="shared" si="39"/>
        <v>33.556201264251769</v>
      </c>
      <c r="G363" s="6">
        <f>F363*1000*1000/secondsPerBlock/avgTrSize</f>
        <v>117.74105706755006</v>
      </c>
      <c r="H363" s="115">
        <f>F363*(missingTransactionRate+compactBlockCompactedness)/(avgRelayBandwidth*ongoingResourceRatio90p*POWER(1+bandwidthGrowth,A363)*mbToGB*1000)</f>
        <v>0.33426915932020862</v>
      </c>
      <c r="I363" s="116">
        <f>(F363*missingTransactionRate*1000*1000/avgTrSize)/(avgRelayValidationSpeed*ongoingResourceRatio90p*POWER(1+cpuGrowth,A363))</f>
        <v>1.6110902764902888</v>
      </c>
      <c r="J363" s="159">
        <f t="shared" si="40"/>
        <v>2.4</v>
      </c>
    </row>
    <row r="364" spans="1:10" s="78" customFormat="1" x14ac:dyDescent="0.25">
      <c r="A364" s="78">
        <v>6</v>
      </c>
      <c r="B364" s="113">
        <f t="shared" si="41"/>
        <v>2.4</v>
      </c>
      <c r="C364" s="151">
        <f>(((avgHops19-1+5)*minLastMileLatency) + ((avgHops19-1)*proximityFavoringFactor*(latency10p-minLastMileLatency)+5*(latency90p-minLastMileLatency))*(1-(1-POWER(1+latencyGrowth,A364))))/1000</f>
        <v>0.76903120541466841</v>
      </c>
      <c r="D364" s="91">
        <f>(B364 - C364)*(avgRelayBandwidth*ongoingResourceRatio90p*POWER(1+bandwidthGrowth,A364)*mbToGB*1000)/(compactBlockCompactedness+missingTransactionRate)</f>
        <v>204.65961187580155</v>
      </c>
      <c r="E364" s="91">
        <f>(B364 - C364)*avgTrSize*(avgRelayValidationSpeed*ongoingResourceRatio90p*POWER(1+cpuGrowth,A364))/missingTransactionRate/1000/1000</f>
        <v>39.745176277689964</v>
      </c>
      <c r="F364" s="91">
        <f t="shared" si="39"/>
        <v>39.745176277689964</v>
      </c>
      <c r="G364" s="6">
        <f>F364*1000*1000/secondsPerBlock/avgTrSize</f>
        <v>139.45675886908759</v>
      </c>
      <c r="H364" s="115">
        <f>F364*(missingTransactionRate+compactBlockCompactedness)/(avgRelayBandwidth*ongoingResourceRatio90p*POWER(1+bandwidthGrowth,A364)*mbToGB*1000)</f>
        <v>0.31673636850021819</v>
      </c>
      <c r="I364" s="116">
        <f>(F364*missingTransactionRate*1000*1000/avgTrSize)/(avgRelayValidationSpeed*ongoingResourceRatio90p*POWER(1+cpuGrowth,A364))</f>
        <v>1.6309687945853313</v>
      </c>
      <c r="J364" s="159">
        <f t="shared" si="40"/>
        <v>2.3999999999999995</v>
      </c>
    </row>
    <row r="365" spans="1:10" s="78" customFormat="1" x14ac:dyDescent="0.25">
      <c r="A365" s="78">
        <v>7</v>
      </c>
      <c r="B365" s="113">
        <f t="shared" si="41"/>
        <v>2.4</v>
      </c>
      <c r="C365" s="151">
        <f>(((avgHops19-1+5)*minLastMileLatency) + ((avgHops19-1)*proximityFavoringFactor*(latency10p-minLastMileLatency)+5*(latency90p-minLastMileLatency))*(1-(1-POWER(1+latencyGrowth,A365))))/1000</f>
        <v>0.74974904286247701</v>
      </c>
      <c r="D365" s="91">
        <f>(B365 - C365)*(avgRelayBandwidth*ongoingResourceRatio90p*POWER(1+bandwidthGrowth,A365)*mbToGB*1000)/(compactBlockCompactedness+missingTransactionRate)</f>
        <v>258.84900550113269</v>
      </c>
      <c r="E365" s="91">
        <f>(B365 - C365)*avgTrSize*(avgRelayValidationSpeed*ongoingResourceRatio90p*POWER(1+cpuGrowth,A365))/missingTransactionRate/1000/1000</f>
        <v>47.051625409132384</v>
      </c>
      <c r="F365" s="91">
        <f t="shared" si="39"/>
        <v>47.051625409132384</v>
      </c>
      <c r="G365" s="6">
        <f>F365*1000*1000/secondsPerBlock/avgTrSize</f>
        <v>165.09342248818382</v>
      </c>
      <c r="H365" s="115">
        <f>F365*(missingTransactionRate+compactBlockCompactedness)/(avgRelayBandwidth*ongoingResourceRatio90p*POWER(1+bandwidthGrowth,A365)*mbToGB*1000)</f>
        <v>0.29997020740323888</v>
      </c>
      <c r="I365" s="116">
        <f>(F365*missingTransactionRate*1000*1000/avgTrSize)/(avgRelayValidationSpeed*ongoingResourceRatio90p*POWER(1+cpuGrowth,A365))</f>
        <v>1.650250957137523</v>
      </c>
      <c r="J365" s="159">
        <f t="shared" si="40"/>
        <v>2.4</v>
      </c>
    </row>
    <row r="366" spans="1:10" s="78" customFormat="1" x14ac:dyDescent="0.25">
      <c r="A366" s="78">
        <v>8</v>
      </c>
      <c r="B366" s="113">
        <f t="shared" si="41"/>
        <v>2.4</v>
      </c>
      <c r="C366" s="151">
        <f>(((avgHops19-1+5)*minLastMileLatency) + ((avgHops19-1)*proximityFavoringFactor*(latency10p-minLastMileLatency)+5*(latency90p-minLastMileLatency))*(1-(1-POWER(1+latencyGrowth,A366))))/1000</f>
        <v>0.73104534518685149</v>
      </c>
      <c r="D366" s="91">
        <f>(B366 - C366)*(avgRelayBandwidth*ongoingResourceRatio90p*POWER(1+bandwidthGrowth,A366)*mbToGB*1000)/(compactBlockCompactedness+missingTransactionRate)</f>
        <v>327.22845179727761</v>
      </c>
      <c r="E366" s="91">
        <f>(B366 - C366)*avgTrSize*(avgRelayValidationSpeed*ongoingResourceRatio90p*POWER(1+cpuGrowth,A366))/missingTransactionRate/1000/1000</f>
        <v>55.674334753175323</v>
      </c>
      <c r="F366" s="91">
        <f t="shared" si="39"/>
        <v>55.674334753175323</v>
      </c>
      <c r="G366" s="6">
        <f>F366*1000*1000/secondsPerBlock/avgTrSize</f>
        <v>195.34854299359762</v>
      </c>
      <c r="H366" s="115">
        <f>F366*(missingTransactionRate+compactBlockCompactedness)/(avgRelayBandwidth*ongoingResourceRatio90p*POWER(1+bandwidthGrowth,A366)*mbToGB*1000)</f>
        <v>0.28395434330234004</v>
      </c>
      <c r="I366" s="116">
        <f>(F366*missingTransactionRate*1000*1000/avgTrSize)/(avgRelayValidationSpeed*ongoingResourceRatio90p*POWER(1+cpuGrowth,A366))</f>
        <v>1.6689546548131486</v>
      </c>
      <c r="J366" s="159">
        <f t="shared" si="40"/>
        <v>2.4000000000000004</v>
      </c>
    </row>
    <row r="367" spans="1:10" s="78" customFormat="1" x14ac:dyDescent="0.25">
      <c r="A367" s="78">
        <v>9</v>
      </c>
      <c r="B367" s="113">
        <f t="shared" si="41"/>
        <v>2.4</v>
      </c>
      <c r="C367" s="151">
        <f>(((avgHops19-1+5)*minLastMileLatency) + ((avgHops19-1)*proximityFavoringFactor*(latency10p-minLastMileLatency)+5*(latency90p-minLastMileLatency))*(1-(1-POWER(1+latencyGrowth,A367))))/1000</f>
        <v>0.71290275844149464</v>
      </c>
      <c r="D367" s="91">
        <f>(B367 - C367)*(avgRelayBandwidth*ongoingResourceRatio90p*POWER(1+bandwidthGrowth,A367)*mbToGB*1000)/(compactBlockCompactedness+missingTransactionRate)</f>
        <v>413.48203858814185</v>
      </c>
      <c r="E367" s="91">
        <f>(B367 - C367)*avgTrSize*(avgRelayValidationSpeed*ongoingResourceRatio90p*POWER(1+cpuGrowth,A367))/missingTransactionRate/1000/1000</f>
        <v>65.8470732507093</v>
      </c>
      <c r="F367" s="91">
        <f t="shared" si="39"/>
        <v>65.8470732507093</v>
      </c>
      <c r="G367" s="6">
        <f>F367*1000*1000/secondsPerBlock/avgTrSize</f>
        <v>231.04236228319053</v>
      </c>
      <c r="H367" s="115">
        <f>F367*(missingTransactionRate+compactBlockCompactedness)/(avgRelayBandwidth*ongoingResourceRatio90p*POWER(1+bandwidthGrowth,A367)*mbToGB*1000)</f>
        <v>0.26867047484165724</v>
      </c>
      <c r="I367" s="116">
        <f>(F367*missingTransactionRate*1000*1000/avgTrSize)/(avgRelayValidationSpeed*ongoingResourceRatio90p*POWER(1+cpuGrowth,A367))</f>
        <v>1.6870972415585048</v>
      </c>
      <c r="J367" s="159">
        <f t="shared" si="40"/>
        <v>2.3999999999999995</v>
      </c>
    </row>
    <row r="368" spans="1:10" s="78" customFormat="1" x14ac:dyDescent="0.25">
      <c r="A368" s="78">
        <v>10</v>
      </c>
      <c r="B368" s="113">
        <f t="shared" si="41"/>
        <v>2.4</v>
      </c>
      <c r="C368" s="151">
        <f>(((avgHops19-1+5)*minLastMileLatency) + ((avgHops19-1)*proximityFavoringFactor*(latency10p-minLastMileLatency)+5*(latency90p-minLastMileLatency))*(1-(1-POWER(1+latencyGrowth,A368))))/1000</f>
        <v>0.69530444929849855</v>
      </c>
      <c r="D368" s="91">
        <f>(B368 - C368)*(avgRelayBandwidth*ongoingResourceRatio90p*POWER(1+bandwidthGrowth,A368)*mbToGB*1000)/(compactBlockCompactedness+missingTransactionRate)</f>
        <v>522.24389776805049</v>
      </c>
      <c r="E368" s="91">
        <f>(B368 - C368)*avgTrSize*(avgRelayValidationSpeed*ongoingResourceRatio90p*POWER(1+cpuGrowth,A368))/missingTransactionRate/1000/1000</f>
        <v>77.84470019724688</v>
      </c>
      <c r="F368" s="91">
        <f t="shared" si="39"/>
        <v>77.84470019724688</v>
      </c>
      <c r="G368" s="6">
        <f>F368*1000*1000/secondsPerBlock/avgTrSize</f>
        <v>273.13929893770836</v>
      </c>
      <c r="H368" s="115">
        <f>F368*(missingTransactionRate+compactBlockCompactedness)/(avgRelayBandwidth*ongoingResourceRatio90p*POWER(1+bandwidthGrowth,A368)*mbToGB*1000)</f>
        <v>0.25409873555071605</v>
      </c>
      <c r="I368" s="116">
        <f>(F368*missingTransactionRate*1000*1000/avgTrSize)/(avgRelayValidationSpeed*ongoingResourceRatio90p*POWER(1+cpuGrowth,A368))</f>
        <v>1.7046955507015016</v>
      </c>
      <c r="J368" s="159">
        <f t="shared" si="40"/>
        <v>2.4000000000000004</v>
      </c>
    </row>
    <row r="369" spans="1:10" s="78" customFormat="1" x14ac:dyDescent="0.25">
      <c r="A369" s="78">
        <v>11</v>
      </c>
      <c r="B369" s="113">
        <f t="shared" si="41"/>
        <v>2.4</v>
      </c>
      <c r="C369" s="151">
        <f>(((avgHops19-1+5)*minLastMileLatency) + ((avgHops19-1)*proximityFavoringFactor*(latency10p-minLastMileLatency)+5*(latency90p-minLastMileLatency))*(1-(1-POWER(1+latencyGrowth,A369))))/1000</f>
        <v>0.67823408942979235</v>
      </c>
      <c r="D369" s="91">
        <f>(B369 - C369)*(avgRelayBandwidth*ongoingResourceRatio90p*POWER(1+bandwidthGrowth,A369)*mbToGB*1000)/(compactBlockCompactedness+missingTransactionRate)</f>
        <v>659.34188351867169</v>
      </c>
      <c r="E369" s="91">
        <f>(B369 - C369)*avgTrSize*(avgRelayValidationSpeed*ongoingResourceRatio90p*POWER(1+cpuGrowth,A369))/missingTransactionRate/1000/1000</f>
        <v>91.99033266892522</v>
      </c>
      <c r="F369" s="91">
        <f t="shared" si="39"/>
        <v>91.99033266892522</v>
      </c>
      <c r="G369" s="6">
        <f>F369*1000*1000/secondsPerBlock/avgTrSize</f>
        <v>322.77309708394807</v>
      </c>
      <c r="H369" s="115">
        <f>F369*(missingTransactionRate+compactBlockCompactedness)/(avgRelayBandwidth*ongoingResourceRatio90p*POWER(1+bandwidthGrowth,A369)*mbToGB*1000)</f>
        <v>0.24021804597960608</v>
      </c>
      <c r="I369" s="116">
        <f>(F369*missingTransactionRate*1000*1000/avgTrSize)/(avgRelayValidationSpeed*ongoingResourceRatio90p*POWER(1+cpuGrowth,A369))</f>
        <v>1.7217659105702081</v>
      </c>
      <c r="J369" s="159">
        <f t="shared" si="40"/>
        <v>2.4000000000000004</v>
      </c>
    </row>
    <row r="370" spans="1:10" s="78" customFormat="1" x14ac:dyDescent="0.25">
      <c r="A370" s="78">
        <v>12</v>
      </c>
      <c r="B370" s="113">
        <f t="shared" si="41"/>
        <v>2.4</v>
      </c>
      <c r="C370" s="151">
        <f>(((avgHops19-1+5)*minLastMileLatency) + ((avgHops19-1)*proximityFavoringFactor*(latency10p-minLastMileLatency)+5*(latency90p-minLastMileLatency))*(1-(1-POWER(1+latencyGrowth,A370))))/1000</f>
        <v>0.66167584035714722</v>
      </c>
      <c r="D370" s="91">
        <f>(B370 - C370)*(avgRelayBandwidth*ongoingResourceRatio90p*POWER(1+bandwidthGrowth,A370)*mbToGB*1000)/(compactBlockCompactedness+missingTransactionRate)</f>
        <v>832.10348061002765</v>
      </c>
      <c r="E370" s="91">
        <f>(B370 - C370)*avgTrSize*(avgRelayValidationSpeed*ongoingResourceRatio90p*POWER(1+cpuGrowth,A370))/missingTransactionRate/1000/1000</f>
        <v>108.66375597159478</v>
      </c>
      <c r="F370" s="91">
        <f t="shared" si="39"/>
        <v>108.66375597159478</v>
      </c>
      <c r="G370" s="6">
        <f>F370*1000*1000/secondsPerBlock/avgTrSize</f>
        <v>381.27633674243782</v>
      </c>
      <c r="H370" s="115">
        <f>F370*(missingTransactionRate+compactBlockCompactedness)/(avgRelayBandwidth*ongoingResourceRatio90p*POWER(1+bandwidthGrowth,A370)*mbToGB*1000)</f>
        <v>0.2270064200963062</v>
      </c>
      <c r="I370" s="116">
        <f>(F370*missingTransactionRate*1000*1000/avgTrSize)/(avgRelayValidationSpeed*ongoingResourceRatio90p*POWER(1+cpuGrowth,A370))</f>
        <v>1.7383241596428529</v>
      </c>
      <c r="J370" s="159">
        <f t="shared" si="40"/>
        <v>2.4000000000000004</v>
      </c>
    </row>
    <row r="371" spans="1:10" s="78" customFormat="1" x14ac:dyDescent="0.25">
      <c r="A371" s="78">
        <v>13</v>
      </c>
      <c r="B371" s="113">
        <f t="shared" si="41"/>
        <v>2.4</v>
      </c>
      <c r="C371" s="151">
        <f>(((avgHops19-1+5)*minLastMileLatency) + ((avgHops19-1)*proximityFavoringFactor*(latency10p-minLastMileLatency)+5*(latency90p-minLastMileLatency))*(1-(1-POWER(1+latencyGrowth,A371))))/1000</f>
        <v>0.64561433875668151</v>
      </c>
      <c r="D371" s="91">
        <f>(B371 - C371)*(avgRelayBandwidth*ongoingResourceRatio90p*POWER(1+bandwidthGrowth,A371)*mbToGB*1000)/(compactBlockCompactedness+missingTransactionRate)</f>
        <v>1049.7397787942061</v>
      </c>
      <c r="E371" s="91">
        <f>(B371 - C371)*avgTrSize*(avgRelayValidationSpeed*ongoingResourceRatio90p*POWER(1+cpuGrowth,A371))/missingTransactionRate/1000/1000</f>
        <v>128.31129174015189</v>
      </c>
      <c r="F371" s="91">
        <f t="shared" si="39"/>
        <v>128.31129174015189</v>
      </c>
      <c r="G371" s="6">
        <f>F371*1000*1000/secondsPerBlock/avgTrSize</f>
        <v>450.2150587373751</v>
      </c>
      <c r="H371" s="115">
        <f>F371*(missingTransactionRate+compactBlockCompactedness)/(avgRelayBandwidth*ongoingResourceRatio90p*POWER(1+bandwidthGrowth,A371)*mbToGB*1000)</f>
        <v>0.21444123100974855</v>
      </c>
      <c r="I371" s="116">
        <f>(F371*missingTransactionRate*1000*1000/avgTrSize)/(avgRelayValidationSpeed*ongoingResourceRatio90p*POWER(1+cpuGrowth,A371))</f>
        <v>1.7543856612433189</v>
      </c>
      <c r="J371" s="159">
        <f t="shared" si="40"/>
        <v>2.4000000000000004</v>
      </c>
    </row>
    <row r="372" spans="1:10" s="78" customFormat="1" x14ac:dyDescent="0.25">
      <c r="A372" s="78">
        <v>14</v>
      </c>
      <c r="B372" s="113">
        <f t="shared" si="41"/>
        <v>2.4</v>
      </c>
      <c r="C372" s="151">
        <f>(((avgHops19-1+5)*minLastMileLatency) + ((avgHops19-1)*proximityFavoringFactor*(latency10p-minLastMileLatency)+5*(latency90p-minLastMileLatency))*(1-(1-POWER(1+latencyGrowth,A372))))/1000</f>
        <v>0.63003468220422976</v>
      </c>
      <c r="D372" s="91">
        <f>(B372 - C372)*(avgRelayBandwidth*ongoingResourceRatio90p*POWER(1+bandwidthGrowth,A372)*mbToGB*1000)/(compactBlockCompactedness+missingTransactionRate)</f>
        <v>1323.8273674811599</v>
      </c>
      <c r="E372" s="91">
        <f>(B372 - C372)*avgTrSize*(avgRelayValidationSpeed*ongoingResourceRatio90p*POWER(1+cpuGrowth,A372))/missingTransactionRate/1000/1000</f>
        <v>151.45737524884544</v>
      </c>
      <c r="F372" s="91">
        <f t="shared" si="39"/>
        <v>151.45737524884544</v>
      </c>
      <c r="G372" s="6">
        <f>F372*1000*1000/secondsPerBlock/avgTrSize</f>
        <v>531.42938683805414</v>
      </c>
      <c r="H372" s="115">
        <f>F372*(missingTransactionRate+compactBlockCompactedness)/(avgRelayBandwidth*ongoingResourceRatio90p*POWER(1+bandwidthGrowth,A372)*mbToGB*1000)</f>
        <v>0.2024994405614228</v>
      </c>
      <c r="I372" s="116">
        <f>(F372*missingTransactionRate*1000*1000/avgTrSize)/(avgRelayValidationSpeed*ongoingResourceRatio90p*POWER(1+cpuGrowth,A372))</f>
        <v>1.7699653177957702</v>
      </c>
      <c r="J372" s="159">
        <f t="shared" si="40"/>
        <v>2.4</v>
      </c>
    </row>
    <row r="373" spans="1:10" s="78" customFormat="1" x14ac:dyDescent="0.25">
      <c r="A373" s="78">
        <v>15</v>
      </c>
      <c r="B373" s="113">
        <f t="shared" si="41"/>
        <v>2.4</v>
      </c>
      <c r="C373" s="151">
        <f>(((avgHops19-1+5)*minLastMileLatency) + ((avgHops19-1)*proximityFavoringFactor*(latency10p-minLastMileLatency)+5*(latency90p-minLastMileLatency))*(1-(1-POWER(1+latencyGrowth,A373))))/1000</f>
        <v>0.61492241534835168</v>
      </c>
      <c r="D373" s="91">
        <f>(B373 - C373)*(avgRelayBandwidth*ongoingResourceRatio90p*POWER(1+bandwidthGrowth,A373)*mbToGB*1000)/(compactBlockCompactedness+missingTransactionRate)</f>
        <v>1668.9130401873867</v>
      </c>
      <c r="E373" s="91">
        <f>(B373 - C373)*avgTrSize*(avgRelayValidationSpeed*ongoingResourceRatio90p*POWER(1+cpuGrowth,A373))/missingTransactionRate/1000/1000</f>
        <v>178.71813676586271</v>
      </c>
      <c r="F373" s="91">
        <f t="shared" si="39"/>
        <v>178.71813676586271</v>
      </c>
      <c r="G373" s="6">
        <f>F373*1000*1000/secondsPerBlock/avgTrSize</f>
        <v>627.08118163460597</v>
      </c>
      <c r="H373" s="115">
        <f>F373*(missingTransactionRate+compactBlockCompactedness)/(avgRelayBandwidth*ongoingResourceRatio90p*POWER(1+bandwidthGrowth,A373)*mbToGB*1000)</f>
        <v>0.19115779685898354</v>
      </c>
      <c r="I373" s="116">
        <f>(F373*missingTransactionRate*1000*1000/avgTrSize)/(avgRelayValidationSpeed*ongoingResourceRatio90p*POWER(1+cpuGrowth,A373))</f>
        <v>1.7850775846516482</v>
      </c>
      <c r="J373" s="159">
        <f t="shared" si="40"/>
        <v>2.4</v>
      </c>
    </row>
    <row r="374" spans="1:10" s="78" customFormat="1" x14ac:dyDescent="0.25">
      <c r="B374" s="113"/>
      <c r="C374" s="8"/>
      <c r="D374" s="116"/>
      <c r="E374" s="115"/>
      <c r="F374" s="115"/>
      <c r="G374" s="117"/>
    </row>
    <row r="375" spans="1:10" s="78" customFormat="1" x14ac:dyDescent="0.25">
      <c r="B375" s="126"/>
      <c r="C375" s="127" t="s">
        <v>141</v>
      </c>
      <c r="D375" s="142"/>
      <c r="E375" s="126"/>
      <c r="F375" s="134"/>
      <c r="G375" s="127" t="s">
        <v>132</v>
      </c>
      <c r="H375" s="142"/>
      <c r="I375" s="126"/>
      <c r="J375" s="136" t="s">
        <v>132</v>
      </c>
    </row>
    <row r="376" spans="1:10" s="78" customFormat="1" x14ac:dyDescent="0.25">
      <c r="B376" s="128" t="s">
        <v>122</v>
      </c>
      <c r="C376" s="129" t="s">
        <v>122</v>
      </c>
      <c r="D376" s="142"/>
      <c r="E376" s="128" t="s">
        <v>30</v>
      </c>
      <c r="F376" s="135" t="s">
        <v>95</v>
      </c>
      <c r="G376" s="129" t="s">
        <v>133</v>
      </c>
      <c r="H376" s="142"/>
      <c r="I376" s="128" t="s">
        <v>30</v>
      </c>
      <c r="J376" s="129" t="s">
        <v>134</v>
      </c>
    </row>
    <row r="377" spans="1:10" s="78" customFormat="1" x14ac:dyDescent="0.25">
      <c r="B377" s="130">
        <v>40</v>
      </c>
      <c r="C377" s="131">
        <f t="shared" ref="C377:C387" si="42">(avgHops19-1+5)*B377/1000</f>
        <v>0.33677987646655339</v>
      </c>
      <c r="E377" s="137">
        <v>2000</v>
      </c>
      <c r="F377" s="139">
        <v>100</v>
      </c>
      <c r="G377" s="131">
        <f>(E377*missingTransactionRate*1000/avgTrSize)/(F377*ongoingResourceRatio90p)</f>
        <v>4.2105263157894743</v>
      </c>
      <c r="I377" s="137">
        <v>500</v>
      </c>
      <c r="J377" s="131">
        <f t="shared" ref="J377:J387" si="43">I377*(missingTransactionRate+compactBlockCompactedness)/(avgRelayBandwidth*0.1*mbToGB*KBperGB)</f>
        <v>1.52E-2</v>
      </c>
    </row>
    <row r="378" spans="1:10" s="78" customFormat="1" x14ac:dyDescent="0.25">
      <c r="B378" s="130">
        <v>60</v>
      </c>
      <c r="C378" s="131">
        <f t="shared" si="42"/>
        <v>0.50516981469983013</v>
      </c>
      <c r="E378" s="137">
        <v>2000</v>
      </c>
      <c r="F378" s="139">
        <v>200</v>
      </c>
      <c r="G378" s="131">
        <f>(E378*missingTransactionRate*1000/avgTrSize)/(F378*ongoingResourceRatio90p)</f>
        <v>2.1052631578947372</v>
      </c>
      <c r="I378" s="137">
        <v>1000</v>
      </c>
      <c r="J378" s="131">
        <f t="shared" si="43"/>
        <v>3.04E-2</v>
      </c>
    </row>
    <row r="379" spans="1:10" s="78" customFormat="1" x14ac:dyDescent="0.25">
      <c r="B379" s="130">
        <v>80</v>
      </c>
      <c r="C379" s="131">
        <f t="shared" si="42"/>
        <v>0.67355975293310677</v>
      </c>
      <c r="E379" s="137">
        <v>2000</v>
      </c>
      <c r="F379" s="139">
        <v>500</v>
      </c>
      <c r="G379" s="131">
        <f>(E379*missingTransactionRate*1000/avgTrSize)/(F379*ongoingResourceRatio90p)</f>
        <v>0.8421052631578948</v>
      </c>
      <c r="I379" s="137">
        <v>1500</v>
      </c>
      <c r="J379" s="131">
        <f t="shared" si="43"/>
        <v>4.5600000000000002E-2</v>
      </c>
    </row>
    <row r="380" spans="1:10" s="78" customFormat="1" x14ac:dyDescent="0.25">
      <c r="B380" s="130">
        <v>100</v>
      </c>
      <c r="C380" s="131">
        <f t="shared" si="42"/>
        <v>0.84194969116638341</v>
      </c>
      <c r="E380" s="137">
        <v>2000</v>
      </c>
      <c r="F380" s="139">
        <v>1000</v>
      </c>
      <c r="G380" s="131">
        <f>(E380*missingTransactionRate*1000/avgTrSize)/(F380*ongoingResourceRatio90p)</f>
        <v>0.4210526315789474</v>
      </c>
      <c r="I380" s="137">
        <v>2000</v>
      </c>
      <c r="J380" s="131">
        <f t="shared" si="43"/>
        <v>6.08E-2</v>
      </c>
    </row>
    <row r="381" spans="1:10" s="78" customFormat="1" x14ac:dyDescent="0.25">
      <c r="B381" s="130">
        <v>120</v>
      </c>
      <c r="C381" s="131">
        <f t="shared" si="42"/>
        <v>1.0103396293996603</v>
      </c>
      <c r="E381" s="138">
        <v>2000</v>
      </c>
      <c r="F381" s="140">
        <v>2000</v>
      </c>
      <c r="G381" s="133">
        <f>(E381*missingTransactionRate*1000/avgTrSize)/(F381*ongoingResourceRatio90p)</f>
        <v>0.2105263157894737</v>
      </c>
      <c r="I381" s="137">
        <v>2500</v>
      </c>
      <c r="J381" s="131">
        <f t="shared" si="43"/>
        <v>7.5999999999999998E-2</v>
      </c>
    </row>
    <row r="382" spans="1:10" s="78" customFormat="1" x14ac:dyDescent="0.25">
      <c r="B382" s="130">
        <v>140</v>
      </c>
      <c r="C382" s="131">
        <f t="shared" si="42"/>
        <v>1.1787295676329368</v>
      </c>
      <c r="E382" s="137">
        <v>20000</v>
      </c>
      <c r="F382" s="139">
        <v>5000</v>
      </c>
      <c r="G382" s="131">
        <f>(E382*missingTransactionRate*1000/avgTrSize)/(F382*ongoingResourceRatio90p)</f>
        <v>0.84210526315789469</v>
      </c>
      <c r="I382" s="137">
        <v>3000</v>
      </c>
      <c r="J382" s="131">
        <f t="shared" si="43"/>
        <v>9.1200000000000003E-2</v>
      </c>
    </row>
    <row r="383" spans="1:10" s="78" customFormat="1" x14ac:dyDescent="0.25">
      <c r="B383" s="130">
        <v>160</v>
      </c>
      <c r="C383" s="131">
        <f t="shared" si="42"/>
        <v>1.3471195058662135</v>
      </c>
      <c r="E383" s="137">
        <v>20000</v>
      </c>
      <c r="F383" s="139">
        <v>10000</v>
      </c>
      <c r="G383" s="131">
        <f>(E383*missingTransactionRate*1000/avgTrSize)/(F383*ongoingResourceRatio90p)</f>
        <v>0.42105263157894735</v>
      </c>
      <c r="I383" s="137">
        <v>3500</v>
      </c>
      <c r="J383" s="131">
        <f t="shared" si="43"/>
        <v>0.10639999999999999</v>
      </c>
    </row>
    <row r="384" spans="1:10" s="78" customFormat="1" x14ac:dyDescent="0.25">
      <c r="B384" s="130">
        <v>180</v>
      </c>
      <c r="C384" s="131">
        <f t="shared" si="42"/>
        <v>1.5155094440994903</v>
      </c>
      <c r="E384" s="137">
        <v>20000</v>
      </c>
      <c r="F384" s="139">
        <v>20000</v>
      </c>
      <c r="G384" s="131">
        <f>(E384*missingTransactionRate*1000/avgTrSize)/(F384*ongoingResourceRatio90p)</f>
        <v>0.21052631578947367</v>
      </c>
      <c r="I384" s="137">
        <v>4000</v>
      </c>
      <c r="J384" s="131">
        <f t="shared" si="43"/>
        <v>0.1216</v>
      </c>
    </row>
    <row r="385" spans="1:10" s="78" customFormat="1" x14ac:dyDescent="0.25">
      <c r="B385" s="130">
        <v>200</v>
      </c>
      <c r="C385" s="131">
        <f t="shared" si="42"/>
        <v>1.6838993823327668</v>
      </c>
      <c r="E385" s="137">
        <v>20000</v>
      </c>
      <c r="F385" s="139">
        <v>50000</v>
      </c>
      <c r="G385" s="131">
        <f>(E385*missingTransactionRate*1000/avgTrSize)/(F385*ongoingResourceRatio90p)</f>
        <v>8.4210526315789472E-2</v>
      </c>
      <c r="I385" s="137">
        <v>4500</v>
      </c>
      <c r="J385" s="131">
        <f t="shared" si="43"/>
        <v>0.1368</v>
      </c>
    </row>
    <row r="386" spans="1:10" s="78" customFormat="1" x14ac:dyDescent="0.25">
      <c r="B386" s="130">
        <v>220</v>
      </c>
      <c r="C386" s="131">
        <f t="shared" si="42"/>
        <v>1.8522893205660436</v>
      </c>
      <c r="E386" s="137">
        <v>20000</v>
      </c>
      <c r="F386" s="139">
        <v>100000</v>
      </c>
      <c r="G386" s="131">
        <f>(E386*missingTransactionRate*1000/avgTrSize)/(F386*ongoingResourceRatio90p)</f>
        <v>4.2105263157894736E-2</v>
      </c>
      <c r="I386" s="137">
        <v>5000</v>
      </c>
      <c r="J386" s="131">
        <f t="shared" si="43"/>
        <v>0.152</v>
      </c>
    </row>
    <row r="387" spans="1:10" s="78" customFormat="1" x14ac:dyDescent="0.25">
      <c r="B387" s="132">
        <v>240</v>
      </c>
      <c r="C387" s="133">
        <f t="shared" si="42"/>
        <v>2.0206792587993205</v>
      </c>
      <c r="E387" s="138">
        <v>20000</v>
      </c>
      <c r="F387" s="140">
        <v>200000</v>
      </c>
      <c r="G387" s="133">
        <f>(E387*missingTransactionRate*1000/avgTrSize)/(F387*ongoingResourceRatio90p)</f>
        <v>2.1052631578947368E-2</v>
      </c>
      <c r="I387" s="138">
        <v>5500</v>
      </c>
      <c r="J387" s="133">
        <f t="shared" si="43"/>
        <v>0.16719999999999999</v>
      </c>
    </row>
    <row r="388" spans="1:10" s="78" customFormat="1" x14ac:dyDescent="0.25">
      <c r="B388" s="31"/>
      <c r="C388" s="7"/>
      <c r="D388" s="75"/>
      <c r="E388" s="31"/>
    </row>
    <row r="389" spans="1:10" s="78" customFormat="1" x14ac:dyDescent="0.25">
      <c r="A389" s="5" t="s">
        <v>62</v>
      </c>
      <c r="B389" s="31"/>
      <c r="C389" s="7"/>
      <c r="D389" s="75"/>
      <c r="E389" s="31"/>
    </row>
    <row r="390" spans="1:10" x14ac:dyDescent="0.25">
      <c r="F390" s="232" t="s">
        <v>29</v>
      </c>
      <c r="G390" s="232"/>
      <c r="H390" s="232"/>
      <c r="I390" s="232"/>
    </row>
    <row r="391" spans="1:10" x14ac:dyDescent="0.25">
      <c r="B391" s="233"/>
      <c r="C391" s="233"/>
      <c r="D391" s="233"/>
      <c r="E391" s="5" t="s">
        <v>64</v>
      </c>
      <c r="F391" s="175" t="s">
        <v>95</v>
      </c>
      <c r="G391" s="175" t="s">
        <v>30</v>
      </c>
      <c r="H391" s="175" t="s">
        <v>87</v>
      </c>
      <c r="I391" s="175" t="s">
        <v>33</v>
      </c>
    </row>
    <row r="392" spans="1:10" x14ac:dyDescent="0.25">
      <c r="B392" s="234" t="s">
        <v>20</v>
      </c>
      <c r="C392" s="234"/>
      <c r="D392" s="234"/>
      <c r="E392" s="38" t="str">
        <f>B81</f>
        <v>90th %ile</v>
      </c>
      <c r="F392" s="90">
        <f>E85</f>
        <v>0.45165461986341898</v>
      </c>
      <c r="G392" s="196">
        <f>D85</f>
        <v>128.72156666107443</v>
      </c>
      <c r="H392" s="41">
        <f>B85*avgTrSize/1000</f>
        <v>43.091999999999999</v>
      </c>
      <c r="I392" s="96"/>
    </row>
    <row r="393" spans="1:10" x14ac:dyDescent="0.25">
      <c r="B393" s="298" t="s">
        <v>47</v>
      </c>
      <c r="C393" s="298"/>
      <c r="D393" s="298"/>
      <c r="E393" s="299" t="str">
        <f>B260</f>
        <v>10th %ile</v>
      </c>
      <c r="F393" s="300">
        <f>F265</f>
        <v>0.73433202488717997</v>
      </c>
      <c r="G393" s="301">
        <f>E265</f>
        <v>209.28462709284628</v>
      </c>
      <c r="H393" s="302">
        <f>C264</f>
        <v>47</v>
      </c>
      <c r="I393" s="281"/>
    </row>
    <row r="394" spans="1:10" x14ac:dyDescent="0.25">
      <c r="B394" s="231" t="s">
        <v>63</v>
      </c>
      <c r="C394" s="231"/>
      <c r="D394" s="231"/>
      <c r="E394" s="2" t="str">
        <f>B284</f>
        <v>90th %ile</v>
      </c>
      <c r="F394" s="44"/>
      <c r="G394" s="43"/>
      <c r="H394" s="42"/>
      <c r="I394" s="40">
        <f>C289</f>
        <v>1.3333333333333335</v>
      </c>
    </row>
    <row r="395" spans="1:10" x14ac:dyDescent="0.25">
      <c r="B395" s="231" t="s">
        <v>5</v>
      </c>
      <c r="C395" s="231"/>
      <c r="D395" s="231"/>
      <c r="E395" s="2" t="str">
        <f>B59</f>
        <v>90th %ile</v>
      </c>
      <c r="F395" s="87">
        <f>E63</f>
        <v>0.11019325799953077</v>
      </c>
      <c r="G395" s="8">
        <f>D63</f>
        <v>31.405078529866266</v>
      </c>
      <c r="H395" s="27">
        <f>B63</f>
        <v>7.397260273972603</v>
      </c>
      <c r="I395" s="94"/>
    </row>
    <row r="396" spans="1:10" s="78" customFormat="1" x14ac:dyDescent="0.25">
      <c r="B396" s="231" t="s">
        <v>53</v>
      </c>
      <c r="C396" s="231"/>
      <c r="D396" s="231"/>
      <c r="E396" s="2" t="str">
        <f>B168</f>
        <v>90th %ile</v>
      </c>
      <c r="F396" s="87">
        <f>D172</f>
        <v>0.30736470420450329</v>
      </c>
      <c r="G396" s="8">
        <f>E172*1000</f>
        <v>87.598940698283428</v>
      </c>
      <c r="H396" s="43"/>
      <c r="I396" s="94"/>
    </row>
    <row r="397" spans="1:10" x14ac:dyDescent="0.25">
      <c r="B397" s="231" t="s">
        <v>66</v>
      </c>
      <c r="C397" s="231"/>
      <c r="D397" s="231"/>
      <c r="E397" s="2" t="str">
        <f>B103</f>
        <v>90th %ile</v>
      </c>
      <c r="F397" s="87">
        <f>B110</f>
        <v>4.0999999999999996</v>
      </c>
      <c r="G397" s="8">
        <f>E110</f>
        <v>1168.5</v>
      </c>
      <c r="H397" s="27">
        <f>C130*avgTrSize/1000</f>
        <v>5367.5</v>
      </c>
      <c r="I397" s="94"/>
      <c r="J397" t="s">
        <v>257</v>
      </c>
    </row>
    <row r="398" spans="1:10" x14ac:dyDescent="0.25">
      <c r="B398" s="231" t="s">
        <v>53</v>
      </c>
      <c r="C398" s="231"/>
      <c r="D398" s="231"/>
      <c r="E398" s="80" t="s">
        <v>76</v>
      </c>
      <c r="F398" s="172">
        <f>D195</f>
        <v>9.2403473483529623</v>
      </c>
      <c r="G398" s="8">
        <f>E195*1000</f>
        <v>2633.4989942805942</v>
      </c>
      <c r="H398" s="94"/>
      <c r="I398" s="94"/>
    </row>
    <row r="399" spans="1:10" x14ac:dyDescent="0.25">
      <c r="B399" s="231" t="s">
        <v>51</v>
      </c>
      <c r="C399" s="231"/>
      <c r="D399" s="231"/>
      <c r="E399" s="2" t="str">
        <f>B214</f>
        <v>90th %ile</v>
      </c>
      <c r="F399" s="87">
        <f>B218</f>
        <v>20</v>
      </c>
      <c r="G399" s="8">
        <f>C218*1000</f>
        <v>5700</v>
      </c>
      <c r="H399" s="42"/>
      <c r="I399" s="94"/>
    </row>
    <row r="400" spans="1:10" x14ac:dyDescent="0.25">
      <c r="B400" s="231" t="s">
        <v>45</v>
      </c>
      <c r="C400" s="231"/>
      <c r="D400" s="231"/>
      <c r="E400" s="2" t="str">
        <f>B237</f>
        <v>90th %ile</v>
      </c>
      <c r="F400" s="44"/>
      <c r="G400" s="43"/>
      <c r="H400" s="42"/>
      <c r="I400" s="40">
        <f>B241</f>
        <v>25</v>
      </c>
    </row>
    <row r="401" spans="1:9" x14ac:dyDescent="0.25">
      <c r="B401" s="141"/>
      <c r="C401" s="141"/>
      <c r="D401" s="141" t="s">
        <v>156</v>
      </c>
      <c r="E401" s="152" t="s">
        <v>157</v>
      </c>
      <c r="F401" s="170">
        <f>G358</f>
        <v>50.069549130145738</v>
      </c>
      <c r="G401" s="171">
        <f>F358*1000</f>
        <v>14269.821502091534</v>
      </c>
      <c r="H401" s="42"/>
      <c r="I401" s="154"/>
    </row>
    <row r="402" spans="1:9" s="78" customFormat="1" x14ac:dyDescent="0.25">
      <c r="B402" s="181"/>
      <c r="C402" s="181"/>
      <c r="D402" s="181"/>
      <c r="E402"/>
      <c r="F402"/>
      <c r="G402"/>
      <c r="H402"/>
      <c r="I402"/>
    </row>
    <row r="403" spans="1:9" s="78" customFormat="1" x14ac:dyDescent="0.25">
      <c r="B403" s="181"/>
      <c r="C403" s="181"/>
      <c r="D403" s="181" t="s">
        <v>215</v>
      </c>
      <c r="E403"/>
      <c r="F403" s="6">
        <f>$C$30*1000/$C$21/$A$26</f>
        <v>7.0175438596491233</v>
      </c>
      <c r="G403" s="8">
        <f>$C$30</f>
        <v>2000</v>
      </c>
      <c r="H403" s="27">
        <f>$B$30</f>
        <v>210</v>
      </c>
      <c r="I403" s="27">
        <f>$D$30</f>
        <v>3</v>
      </c>
    </row>
    <row r="404" spans="1:9" s="78" customFormat="1" x14ac:dyDescent="0.25">
      <c r="B404" s="181"/>
      <c r="C404" s="181"/>
      <c r="D404" s="181"/>
      <c r="F404" s="6"/>
      <c r="G404" s="8"/>
      <c r="H404" s="27"/>
      <c r="I404" s="27"/>
    </row>
    <row r="405" spans="1:9" s="78" customFormat="1" x14ac:dyDescent="0.25">
      <c r="B405" s="181"/>
      <c r="C405" s="181"/>
      <c r="D405" s="181"/>
      <c r="F405" s="6"/>
      <c r="G405" s="8"/>
      <c r="H405" s="27"/>
      <c r="I405" s="27"/>
    </row>
    <row r="406" spans="1:9" x14ac:dyDescent="0.25">
      <c r="A406" s="83" t="s">
        <v>225</v>
      </c>
    </row>
    <row r="407" spans="1:9" s="78" customFormat="1" x14ac:dyDescent="0.25">
      <c r="A407" s="83"/>
    </row>
    <row r="408" spans="1:9" x14ac:dyDescent="0.25">
      <c r="B408" s="78"/>
      <c r="C408" s="78"/>
      <c r="D408" s="78"/>
      <c r="E408" s="78"/>
      <c r="F408" s="232" t="s">
        <v>29</v>
      </c>
      <c r="G408" s="232"/>
      <c r="H408" s="232"/>
      <c r="I408" s="232"/>
    </row>
    <row r="409" spans="1:9" x14ac:dyDescent="0.25">
      <c r="A409" s="78"/>
      <c r="B409" s="233"/>
      <c r="C409" s="233"/>
      <c r="D409" s="233"/>
      <c r="E409" s="83" t="s">
        <v>64</v>
      </c>
      <c r="F409" s="180" t="s">
        <v>95</v>
      </c>
      <c r="G409" s="180" t="s">
        <v>30</v>
      </c>
      <c r="H409" s="180" t="s">
        <v>87</v>
      </c>
      <c r="I409" s="180" t="s">
        <v>33</v>
      </c>
    </row>
    <row r="410" spans="1:9" x14ac:dyDescent="0.25">
      <c r="A410" s="78"/>
      <c r="B410" s="234" t="s">
        <v>20</v>
      </c>
      <c r="C410" s="234"/>
      <c r="D410" s="234"/>
      <c r="E410" s="89" t="s">
        <v>75</v>
      </c>
      <c r="F410" s="194" t="s">
        <v>262</v>
      </c>
      <c r="G410" s="201" t="s">
        <v>263</v>
      </c>
      <c r="H410" s="202" t="s">
        <v>220</v>
      </c>
      <c r="I410" s="96"/>
    </row>
    <row r="411" spans="1:9" x14ac:dyDescent="0.25">
      <c r="A411" s="78"/>
      <c r="B411" s="298" t="s">
        <v>47</v>
      </c>
      <c r="C411" s="298"/>
      <c r="D411" s="298"/>
      <c r="E411" s="299" t="s">
        <v>76</v>
      </c>
      <c r="F411" s="303" t="s">
        <v>211</v>
      </c>
      <c r="G411" s="304" t="s">
        <v>216</v>
      </c>
      <c r="H411" s="305" t="s">
        <v>221</v>
      </c>
      <c r="I411" s="226"/>
    </row>
    <row r="412" spans="1:9" x14ac:dyDescent="0.25">
      <c r="A412" s="78"/>
      <c r="B412" s="231" t="s">
        <v>63</v>
      </c>
      <c r="C412" s="231"/>
      <c r="D412" s="231"/>
      <c r="E412" s="80" t="s">
        <v>75</v>
      </c>
      <c r="F412" s="191"/>
      <c r="G412" s="152"/>
      <c r="H412" s="198"/>
      <c r="I412" s="203" t="s">
        <v>267</v>
      </c>
    </row>
    <row r="413" spans="1:9" x14ac:dyDescent="0.25">
      <c r="A413" s="78"/>
      <c r="B413" s="231" t="s">
        <v>5</v>
      </c>
      <c r="C413" s="231"/>
      <c r="D413" s="231"/>
      <c r="E413" s="80" t="s">
        <v>75</v>
      </c>
      <c r="F413" s="195" t="s">
        <v>258</v>
      </c>
      <c r="G413" s="200" t="s">
        <v>259</v>
      </c>
      <c r="H413" s="241" t="s">
        <v>260</v>
      </c>
      <c r="I413" s="94"/>
    </row>
    <row r="414" spans="1:9" x14ac:dyDescent="0.25">
      <c r="A414" s="78"/>
      <c r="B414" s="231" t="s">
        <v>53</v>
      </c>
      <c r="C414" s="231"/>
      <c r="D414" s="231"/>
      <c r="E414" s="80" t="s">
        <v>75</v>
      </c>
      <c r="F414" s="195" t="s">
        <v>210</v>
      </c>
      <c r="G414" s="200" t="s">
        <v>261</v>
      </c>
      <c r="H414" s="152"/>
      <c r="I414" s="94"/>
    </row>
    <row r="415" spans="1:9" x14ac:dyDescent="0.25">
      <c r="A415" s="78"/>
      <c r="B415" s="231" t="s">
        <v>66</v>
      </c>
      <c r="C415" s="231"/>
      <c r="D415" s="231"/>
      <c r="E415" s="80" t="s">
        <v>75</v>
      </c>
      <c r="F415" s="195" t="s">
        <v>264</v>
      </c>
      <c r="G415" s="200" t="s">
        <v>265</v>
      </c>
      <c r="H415" s="241" t="s">
        <v>266</v>
      </c>
      <c r="I415" s="152"/>
    </row>
    <row r="416" spans="1:9" x14ac:dyDescent="0.25">
      <c r="A416" s="78"/>
      <c r="B416" s="231" t="s">
        <v>53</v>
      </c>
      <c r="C416" s="231"/>
      <c r="D416" s="231"/>
      <c r="E416" s="80" t="s">
        <v>76</v>
      </c>
      <c r="F416" s="192" t="s">
        <v>212</v>
      </c>
      <c r="G416" s="189" t="s">
        <v>218</v>
      </c>
      <c r="H416" s="94"/>
      <c r="I416" s="152"/>
    </row>
    <row r="417" spans="1:9" x14ac:dyDescent="0.25">
      <c r="A417" s="78"/>
      <c r="B417" s="231" t="s">
        <v>51</v>
      </c>
      <c r="C417" s="231"/>
      <c r="D417" s="231"/>
      <c r="E417" s="80" t="s">
        <v>75</v>
      </c>
      <c r="F417" s="190" t="s">
        <v>213</v>
      </c>
      <c r="G417" s="189" t="s">
        <v>217</v>
      </c>
      <c r="H417" s="42"/>
      <c r="I417" s="152"/>
    </row>
    <row r="418" spans="1:9" x14ac:dyDescent="0.25">
      <c r="A418" s="78"/>
      <c r="B418" s="231" t="s">
        <v>45</v>
      </c>
      <c r="C418" s="231"/>
      <c r="D418" s="231"/>
      <c r="E418" s="80" t="s">
        <v>75</v>
      </c>
      <c r="F418" s="191"/>
      <c r="G418" s="152"/>
      <c r="H418" s="42"/>
      <c r="I418" s="199" t="s">
        <v>222</v>
      </c>
    </row>
    <row r="419" spans="1:9" x14ac:dyDescent="0.25">
      <c r="A419" s="78"/>
      <c r="B419" s="181"/>
      <c r="C419" s="181"/>
      <c r="D419" s="181" t="s">
        <v>156</v>
      </c>
      <c r="E419" s="152" t="s">
        <v>157</v>
      </c>
      <c r="F419" s="193" t="s">
        <v>214</v>
      </c>
      <c r="G419" s="197" t="s">
        <v>219</v>
      </c>
      <c r="H419" s="42"/>
      <c r="I419" s="154"/>
    </row>
  </sheetData>
  <mergeCells count="24">
    <mergeCell ref="H18:K18"/>
    <mergeCell ref="B391:D391"/>
    <mergeCell ref="B400:D400"/>
    <mergeCell ref="B398:D398"/>
    <mergeCell ref="B395:D395"/>
    <mergeCell ref="B392:D392"/>
    <mergeCell ref="B397:D397"/>
    <mergeCell ref="B399:D399"/>
    <mergeCell ref="B394:D394"/>
    <mergeCell ref="B393:D393"/>
    <mergeCell ref="B396:D396"/>
    <mergeCell ref="H19:K19"/>
    <mergeCell ref="F390:I390"/>
    <mergeCell ref="F408:I408"/>
    <mergeCell ref="B409:D409"/>
    <mergeCell ref="B413:D413"/>
    <mergeCell ref="B414:D414"/>
    <mergeCell ref="B410:D410"/>
    <mergeCell ref="B418:D418"/>
    <mergeCell ref="B411:D411"/>
    <mergeCell ref="B412:D412"/>
    <mergeCell ref="B415:D415"/>
    <mergeCell ref="B416:D416"/>
    <mergeCell ref="B417:D417"/>
  </mergeCells>
  <conditionalFormatting sqref="I130:I145">
    <cfRule type="colorScale" priority="16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I110:I125">
    <cfRule type="colorScale" priority="15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G401 G399 G417 G392:G393 G395:G397 G410:G411 G413:G415">
    <cfRule type="cellIs" dxfId="19" priority="12" operator="lessThan">
      <formula>$C$30</formula>
    </cfRule>
  </conditionalFormatting>
  <conditionalFormatting sqref="H397 H392:H393 H395 H410:H411 H413">
    <cfRule type="cellIs" dxfId="18" priority="10" operator="lessThan">
      <formula>$B$30</formula>
    </cfRule>
  </conditionalFormatting>
  <conditionalFormatting sqref="I400 I394 I412">
    <cfRule type="cellIs" dxfId="17" priority="9" operator="lessThan">
      <formula>$D$30</formula>
    </cfRule>
  </conditionalFormatting>
  <conditionalFormatting sqref="J22:J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I3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2:H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:K3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401 F392:F393 F395:F399 F419 F410:F411 F413:F417">
    <cfRule type="cellIs" dxfId="16" priority="20" operator="lessThan">
      <formula>$C$30*1000/$C$21/$A$26</formula>
    </cfRule>
  </conditionalFormatting>
  <conditionalFormatting sqref="G419">
    <cfRule type="cellIs" dxfId="15" priority="3" operator="lessThan">
      <formula>$C$30</formula>
    </cfRule>
  </conditionalFormatting>
  <conditionalFormatting sqref="H415">
    <cfRule type="cellIs" dxfId="14" priority="2" operator="lessThan">
      <formula>$B$30</formula>
    </cfRule>
  </conditionalFormatting>
  <conditionalFormatting sqref="I418">
    <cfRule type="cellIs" dxfId="13" priority="1" operator="lessThan">
      <formula>$D$30</formula>
    </cfRule>
  </conditionalFormatting>
  <pageMargins left="0.7" right="0.7" top="0.75" bottom="0.75" header="0.3" footer="0.3"/>
  <pageSetup fitToWidth="0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119"/>
  <sheetViews>
    <sheetView topLeftCell="A58" workbookViewId="0">
      <selection activeCell="G126" sqref="G126"/>
    </sheetView>
  </sheetViews>
  <sheetFormatPr defaultRowHeight="15" x14ac:dyDescent="0.25"/>
  <cols>
    <col min="1" max="1" width="12.28515625" customWidth="1"/>
    <col min="2" max="2" width="13.85546875" customWidth="1"/>
    <col min="3" max="3" width="15.7109375" customWidth="1"/>
    <col min="4" max="4" width="15.28515625" customWidth="1"/>
    <col min="5" max="5" width="11.7109375" customWidth="1"/>
    <col min="6" max="6" width="16.5703125" customWidth="1"/>
    <col min="7" max="7" width="14" customWidth="1"/>
    <col min="8" max="8" width="11.7109375" customWidth="1"/>
    <col min="10" max="10" width="11.42578125" customWidth="1"/>
    <col min="11" max="11" width="12.85546875" customWidth="1"/>
  </cols>
  <sheetData>
    <row r="1" spans="1:15" x14ac:dyDescent="0.25">
      <c r="A1" s="83" t="s">
        <v>204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5" x14ac:dyDescent="0.25">
      <c r="A2" s="83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244"/>
    </row>
    <row r="3" spans="1:15" x14ac:dyDescent="0.25">
      <c r="A3" s="229" t="s">
        <v>0</v>
      </c>
      <c r="B3" s="78"/>
      <c r="C3" s="229" t="s">
        <v>195</v>
      </c>
      <c r="D3" s="78"/>
      <c r="E3" s="229" t="s">
        <v>252</v>
      </c>
      <c r="F3" s="78"/>
      <c r="G3" s="78"/>
      <c r="H3" s="78"/>
      <c r="I3" s="78"/>
      <c r="J3" s="229" t="s">
        <v>71</v>
      </c>
      <c r="K3" s="229" t="s">
        <v>70</v>
      </c>
      <c r="L3" s="78"/>
      <c r="M3" s="247" t="s">
        <v>79</v>
      </c>
      <c r="N3" s="229" t="s">
        <v>14</v>
      </c>
      <c r="O3" s="229" t="s">
        <v>36</v>
      </c>
    </row>
    <row r="4" spans="1:15" x14ac:dyDescent="0.25">
      <c r="A4" s="229" t="s">
        <v>73</v>
      </c>
      <c r="B4" s="229" t="s">
        <v>1</v>
      </c>
      <c r="C4" s="229" t="s">
        <v>193</v>
      </c>
      <c r="D4" s="229" t="s">
        <v>194</v>
      </c>
      <c r="E4" s="229" t="s">
        <v>1</v>
      </c>
      <c r="F4" s="229" t="s">
        <v>2</v>
      </c>
      <c r="G4" s="229" t="s">
        <v>3</v>
      </c>
      <c r="H4" s="229" t="s">
        <v>10</v>
      </c>
      <c r="I4" s="229" t="s">
        <v>122</v>
      </c>
      <c r="J4" s="229" t="s">
        <v>54</v>
      </c>
      <c r="K4" s="229" t="s">
        <v>54</v>
      </c>
      <c r="L4" s="229" t="s">
        <v>14</v>
      </c>
      <c r="M4" s="245" t="s">
        <v>14</v>
      </c>
      <c r="N4" s="229" t="s">
        <v>15</v>
      </c>
      <c r="O4" s="229" t="s">
        <v>15</v>
      </c>
    </row>
    <row r="5" spans="1:15" x14ac:dyDescent="0.25">
      <c r="A5" s="80" t="s">
        <v>76</v>
      </c>
      <c r="B5" s="58">
        <f>bandwidth10p</f>
        <v>50</v>
      </c>
      <c r="C5" s="59">
        <f>'Current Bitcoin'!C14</f>
        <v>1000</v>
      </c>
      <c r="D5" s="230">
        <f>avgBandwidth10p</f>
        <v>3.0441400304414001</v>
      </c>
      <c r="E5" s="230">
        <f>avgSyncBandwidth10p</f>
        <v>13.046314416177429</v>
      </c>
      <c r="F5" s="59">
        <f>disk10p</f>
        <v>500</v>
      </c>
      <c r="G5" s="59">
        <f>memory10p</f>
        <v>4</v>
      </c>
      <c r="H5" s="60">
        <f>validationRate10p</f>
        <v>2000</v>
      </c>
      <c r="I5" s="114">
        <f>latency10p</f>
        <v>130</v>
      </c>
      <c r="J5" s="85">
        <f>outgoingConnections10p</f>
        <v>8</v>
      </c>
      <c r="K5" s="65">
        <f>minPublicNodeConnections</f>
        <v>80</v>
      </c>
      <c r="L5" s="61">
        <f>syncTime10p</f>
        <v>7</v>
      </c>
      <c r="M5" s="259">
        <f>historicalSyncTime10pf</f>
        <v>60</v>
      </c>
      <c r="N5" s="84">
        <f>syncResourceRatio10p</f>
        <v>0.5</v>
      </c>
      <c r="O5" s="84">
        <f>ongoingResourceRatio10p</f>
        <v>0.1</v>
      </c>
    </row>
    <row r="6" spans="1:15" x14ac:dyDescent="0.25">
      <c r="A6" s="80" t="s">
        <v>75</v>
      </c>
      <c r="B6" s="58">
        <f>bandwidth90p</f>
        <v>9</v>
      </c>
      <c r="C6" s="59">
        <f>'Current Bitcoin'!C15</f>
        <v>10</v>
      </c>
      <c r="D6" s="230">
        <f>avgBandwidth90p</f>
        <v>3.0441400304414001E-2</v>
      </c>
      <c r="E6" s="230">
        <f>avgSyncBandwidth90p</f>
        <v>0.13046314416177429</v>
      </c>
      <c r="F6" s="59">
        <f>disk90p</f>
        <v>250</v>
      </c>
      <c r="G6" s="59">
        <f>memory90p</f>
        <v>2</v>
      </c>
      <c r="H6" s="60">
        <f>validationRate90p</f>
        <v>200</v>
      </c>
      <c r="I6" s="114">
        <f>latency90p</f>
        <v>130</v>
      </c>
      <c r="J6" s="85">
        <f>outgoingConnections90p</f>
        <v>8</v>
      </c>
      <c r="K6" s="85">
        <f>'Current Bitcoin'!K15</f>
        <v>0</v>
      </c>
      <c r="L6" s="61">
        <f>syncTime90p</f>
        <v>7</v>
      </c>
      <c r="M6" s="259">
        <f>historicalSyncTime90pf</f>
        <v>60</v>
      </c>
      <c r="N6" s="84">
        <f>syncResourceRatio90p</f>
        <v>0.75</v>
      </c>
      <c r="O6" s="84">
        <f>ongoingResourceRatio90p</f>
        <v>0.1</v>
      </c>
    </row>
    <row r="7" spans="1:15" x14ac:dyDescent="0.25">
      <c r="A7" s="80" t="s">
        <v>8</v>
      </c>
      <c r="B7" s="147">
        <f>bandwidthGrowth</f>
        <v>0.25</v>
      </c>
      <c r="C7" s="182">
        <f>'Current Bitcoin'!C16</f>
        <v>0.25</v>
      </c>
      <c r="D7" s="78"/>
      <c r="E7" s="78"/>
      <c r="F7" s="147">
        <f>diskGrowth</f>
        <v>0.25</v>
      </c>
      <c r="G7" s="147">
        <f>memoryGrowth</f>
        <v>0.15</v>
      </c>
      <c r="H7" s="147">
        <f>cpuGrowth</f>
        <v>0.17</v>
      </c>
      <c r="I7" s="148">
        <f>latencyGrowth</f>
        <v>-0.03</v>
      </c>
      <c r="J7" s="78"/>
      <c r="K7" s="78"/>
      <c r="L7" s="78"/>
      <c r="N7" s="78"/>
    </row>
    <row r="10" spans="1:15" x14ac:dyDescent="0.25">
      <c r="A10" s="56" t="s">
        <v>81</v>
      </c>
    </row>
    <row r="11" spans="1:15" x14ac:dyDescent="0.25">
      <c r="A11" s="53"/>
      <c r="B11" s="54"/>
      <c r="E11" s="52"/>
      <c r="F11" s="52"/>
      <c r="G11" s="52"/>
      <c r="H11" s="52"/>
      <c r="I11" s="64"/>
      <c r="J11" s="64"/>
      <c r="K11" s="52"/>
      <c r="L11" s="52"/>
      <c r="M11" s="52"/>
    </row>
    <row r="12" spans="1:15" x14ac:dyDescent="0.25">
      <c r="A12" s="54" t="s">
        <v>6</v>
      </c>
      <c r="B12" s="285" t="s">
        <v>75</v>
      </c>
      <c r="C12" s="86"/>
      <c r="D12" s="86"/>
      <c r="E12" s="64"/>
      <c r="F12" s="64"/>
      <c r="G12" s="52"/>
      <c r="H12" s="52"/>
      <c r="I12" s="64"/>
      <c r="J12" s="64"/>
      <c r="K12" s="52"/>
      <c r="L12" s="52"/>
      <c r="M12" s="52"/>
    </row>
    <row r="13" spans="1:15" x14ac:dyDescent="0.2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</row>
    <row r="14" spans="1:15" x14ac:dyDescent="0.25">
      <c r="A14" s="52"/>
      <c r="B14" s="53"/>
      <c r="C14" s="69" t="s">
        <v>43</v>
      </c>
      <c r="D14" s="69" t="s">
        <v>37</v>
      </c>
      <c r="E14" s="69" t="s">
        <v>29</v>
      </c>
      <c r="F14" s="52"/>
      <c r="G14" s="52"/>
      <c r="H14" s="52"/>
      <c r="I14" s="52"/>
      <c r="J14" s="52"/>
      <c r="K14" s="52"/>
    </row>
    <row r="15" spans="1:15" x14ac:dyDescent="0.25">
      <c r="A15" s="55" t="s">
        <v>7</v>
      </c>
      <c r="B15" s="53" t="s">
        <v>82</v>
      </c>
      <c r="C15" s="69" t="s">
        <v>33</v>
      </c>
      <c r="D15" s="69" t="s">
        <v>8</v>
      </c>
      <c r="E15" s="53" t="s">
        <v>30</v>
      </c>
      <c r="F15" s="53" t="s">
        <v>19</v>
      </c>
      <c r="G15" s="52"/>
      <c r="H15" s="52"/>
      <c r="I15" s="52"/>
      <c r="J15" s="52"/>
      <c r="K15" s="52"/>
    </row>
    <row r="16" spans="1:15" x14ac:dyDescent="0.25">
      <c r="A16" s="52">
        <v>0</v>
      </c>
      <c r="B16" s="242">
        <f>avgSyncBandwidth90p*syncResourceRatio90p*mbToGB*secondsPerYear*POWER(1+bandwidthGrowth,A16)*syncTime90p/365</f>
        <v>7.397260273972603</v>
      </c>
      <c r="C16" s="73">
        <f xml:space="preserve"> utxoSize</f>
        <v>3</v>
      </c>
      <c r="D16" s="51">
        <f>(B16-C16)/(assumevalidBlockTime/365)</f>
        <v>7.6428571428571441</v>
      </c>
      <c r="E16" s="50">
        <f>(D16*KBperGB/secondsPerYear)*secondsPerBlock/1000</f>
        <v>0.14541204609697764</v>
      </c>
      <c r="F16" s="57">
        <f>E16*1000*1000/(secondsPerBlock*avgTrSize)</f>
        <v>0.51021770560343027</v>
      </c>
      <c r="G16" s="52"/>
      <c r="H16" s="52"/>
      <c r="I16" s="52"/>
      <c r="J16" s="52"/>
      <c r="K16" s="52"/>
    </row>
    <row r="17" spans="1:11" x14ac:dyDescent="0.25">
      <c r="A17" s="52">
        <v>1</v>
      </c>
      <c r="B17" s="242">
        <f>avgSyncBandwidth90p*syncResourceRatio90p*mbToGB*secondsPerYear*POWER(1+bandwidthGrowth,A17)*syncTime90p/365</f>
        <v>9.2465753424657535</v>
      </c>
      <c r="C17" s="75">
        <f xml:space="preserve"> C16 + MIN(C16*utxoGrowth, curMaxBlocksize*secondsPerYear/secondsPerBlock/KBperGB)</f>
        <v>4.5</v>
      </c>
      <c r="D17" s="51">
        <f>(B17-C17)/(assumevalidBlockTime/365)</f>
        <v>8.25</v>
      </c>
      <c r="E17" s="50">
        <f>(D17*KBperGB/secondsPerYear)*secondsPerBlock/1000</f>
        <v>0.1569634703196347</v>
      </c>
      <c r="F17" s="57">
        <f>E17*1000*1000/(secondsPerBlock*avgTrSize)</f>
        <v>0.55074901866538484</v>
      </c>
      <c r="G17" s="52"/>
      <c r="H17" s="52"/>
      <c r="I17" s="52"/>
      <c r="J17" s="52"/>
      <c r="K17" s="52"/>
    </row>
    <row r="18" spans="1:11" x14ac:dyDescent="0.25">
      <c r="A18" s="52">
        <v>2</v>
      </c>
      <c r="B18" s="242">
        <f>avgSyncBandwidth90p*syncResourceRatio90p*mbToGB*secondsPerYear*POWER(1+bandwidthGrowth,A18)*syncTime90p/365</f>
        <v>11.558219178082192</v>
      </c>
      <c r="C18" s="75">
        <f xml:space="preserve"> C17 + MIN(C17*utxoGrowth, curMaxBlocksize*secondsPerYear/secondsPerBlock/KBperGB)</f>
        <v>6.75</v>
      </c>
      <c r="D18" s="51">
        <f>(B18-C18)/(assumevalidBlockTime/365)</f>
        <v>8.3571428571428577</v>
      </c>
      <c r="E18" s="50">
        <f>(D18*KBperGB/secondsPerYear)*secondsPerBlock/1000</f>
        <v>0.15900195694716243</v>
      </c>
      <c r="F18" s="57">
        <f>E18*1000*1000/(secondsPerBlock*avgTrSize)</f>
        <v>0.5579016033233769</v>
      </c>
      <c r="G18" s="52"/>
      <c r="H18" s="52"/>
      <c r="I18" s="52"/>
      <c r="J18" s="52"/>
      <c r="K18" s="52"/>
    </row>
    <row r="19" spans="1:11" x14ac:dyDescent="0.25">
      <c r="A19" s="52">
        <v>3</v>
      </c>
      <c r="B19" s="242">
        <f>avgSyncBandwidth90p*syncResourceRatio90p*mbToGB*secondsPerYear*POWER(1+bandwidthGrowth,A19)*syncTime90p/365</f>
        <v>14.447773972602739</v>
      </c>
      <c r="C19" s="75">
        <f xml:space="preserve"> C18 + MIN(C18*utxoGrowth, curMaxBlocksize*secondsPerYear/secondsPerBlock/KBperGB)</f>
        <v>10.125</v>
      </c>
      <c r="D19" s="51">
        <f>(B19-C19)/(assumevalidBlockTime/365)</f>
        <v>7.5133928571428568</v>
      </c>
      <c r="E19" s="50">
        <f>(D19*KBperGB/secondsPerYear)*secondsPerBlock/1000</f>
        <v>0.14294887475538159</v>
      </c>
      <c r="F19" s="57">
        <f>E19*1000*1000/(secondsPerBlock*avgTrSize)</f>
        <v>0.50157499914168979</v>
      </c>
      <c r="G19" s="52"/>
      <c r="H19" s="52"/>
      <c r="I19" s="52"/>
      <c r="J19" s="52"/>
      <c r="K19" s="52"/>
    </row>
    <row r="20" spans="1:11" x14ac:dyDescent="0.25">
      <c r="A20" s="52">
        <v>4</v>
      </c>
      <c r="B20" s="242">
        <f>avgSyncBandwidth90p*syncResourceRatio90p*mbToGB*secondsPerYear*POWER(1+bandwidthGrowth,A20)*syncTime90p/365</f>
        <v>18.059717465753426</v>
      </c>
      <c r="C20" s="75">
        <f xml:space="preserve"> C19 + MIN(C19*utxoGrowth, curMaxBlocksize*secondsPerYear/secondsPerBlock/KBperGB)</f>
        <v>15.1875</v>
      </c>
      <c r="D20" s="51">
        <f>(B20-C20)/(assumevalidBlockTime/365)</f>
        <v>4.9921875000000027</v>
      </c>
      <c r="E20" s="50">
        <f>(D20*KBperGB/secondsPerYear)*secondsPerBlock/1000</f>
        <v>9.4980736301369911E-2</v>
      </c>
      <c r="F20" s="168">
        <f>E20*1000*1000/(secondsPerBlock*avgTrSize)</f>
        <v>0.3332657414083155</v>
      </c>
      <c r="G20" s="52"/>
      <c r="H20" s="52"/>
      <c r="I20" s="52"/>
      <c r="J20" s="52"/>
      <c r="K20" s="52"/>
    </row>
    <row r="21" spans="1:11" x14ac:dyDescent="0.25">
      <c r="A21" s="52">
        <v>5</v>
      </c>
      <c r="B21" s="242">
        <f>avgSyncBandwidth90p*syncResourceRatio90p*mbToGB*secondsPerYear*POWER(1+bandwidthGrowth,A21)*syncTime90p/365</f>
        <v>22.574646832191782</v>
      </c>
      <c r="C21" s="75">
        <f xml:space="preserve"> C20 + MIN(C20*utxoGrowth, curMaxBlocksize*secondsPerYear/secondsPerBlock/KBperGB)</f>
        <v>22.78125</v>
      </c>
      <c r="D21" s="51">
        <f>(B21-C21)/(assumevalidBlockTime/365)</f>
        <v>-0.35909598214285565</v>
      </c>
      <c r="E21" s="50">
        <f>(D21*KBperGB/secondsPerYear)*secondsPerBlock/1000</f>
        <v>-6.8321153375733579E-3</v>
      </c>
      <c r="F21" s="168">
        <f>E21*1000*1000/(secondsPerBlock*avgTrSize)</f>
        <v>-2.3972334517801255E-2</v>
      </c>
      <c r="G21" s="52"/>
      <c r="H21" s="52"/>
      <c r="I21" s="52"/>
      <c r="J21" s="52"/>
      <c r="K21" s="52"/>
    </row>
    <row r="22" spans="1:11" x14ac:dyDescent="0.25">
      <c r="A22" s="52">
        <v>6</v>
      </c>
      <c r="B22" s="242">
        <f>avgSyncBandwidth90p*syncResourceRatio90p*mbToGB*secondsPerYear*POWER(1+bandwidthGrowth,A22)*syncTime90p/365</f>
        <v>28.218308540239725</v>
      </c>
      <c r="C22" s="75">
        <f xml:space="preserve"> C21 + MIN(C21*utxoGrowth, curMaxBlocksize*secondsPerYear/secondsPerBlock/KBperGB)</f>
        <v>34.171875</v>
      </c>
      <c r="D22" s="51">
        <f>(B22-C22)/(assumevalidBlockTime/365)</f>
        <v>-10.347865513392859</v>
      </c>
      <c r="E22" s="50">
        <f>(D22*KBperGB/secondsPerYear)*secondsPerBlock/1000</f>
        <v>-0.19687719774339538</v>
      </c>
      <c r="F22" s="57">
        <f>E22*1000*1000/(secondsPerBlock*avgTrSize)</f>
        <v>-0.69079718506454513</v>
      </c>
      <c r="G22" s="52"/>
      <c r="H22" s="52"/>
      <c r="I22" s="52"/>
      <c r="J22" s="52"/>
      <c r="K22" s="52"/>
    </row>
    <row r="23" spans="1:11" x14ac:dyDescent="0.25">
      <c r="A23" s="52">
        <v>7</v>
      </c>
      <c r="B23" s="242">
        <f>avgSyncBandwidth90p*syncResourceRatio90p*mbToGB*secondsPerYear*POWER(1+bandwidthGrowth,A23)*syncTime90p/365</f>
        <v>35.272885675299655</v>
      </c>
      <c r="C23" s="75">
        <f xml:space="preserve"> C22 + MIN(C22*utxoGrowth, curMaxBlocksize*secondsPerYear/secondsPerBlock/KBperGB)</f>
        <v>51.2578125</v>
      </c>
      <c r="D23" s="51">
        <f>(B23-C23)/(assumevalidBlockTime/365)</f>
        <v>-27.783325195312507</v>
      </c>
      <c r="E23" s="50">
        <f>(D23*KBperGB/secondsPerYear)*secondsPerBlock/1000</f>
        <v>-0.5286020775363871</v>
      </c>
      <c r="F23" s="57">
        <f>E23*1000*1000/(secondsPerBlock*avgTrSize)</f>
        <v>-1.8547441317066216</v>
      </c>
      <c r="G23" s="52"/>
      <c r="H23" s="52"/>
      <c r="I23" s="52"/>
      <c r="J23" s="52"/>
      <c r="K23" s="52"/>
    </row>
    <row r="24" spans="1:11" x14ac:dyDescent="0.25">
      <c r="A24" s="52">
        <v>8</v>
      </c>
      <c r="B24" s="242">
        <f>avgSyncBandwidth90p*syncResourceRatio90p*mbToGB*secondsPerYear*POWER(1+bandwidthGrowth,A24)*syncTime90p/365</f>
        <v>44.091107094124574</v>
      </c>
      <c r="C24" s="75">
        <f xml:space="preserve"> C23 + MIN(C23*utxoGrowth, curMaxBlocksize*secondsPerYear/secondsPerBlock/KBperGB)</f>
        <v>76.88671875</v>
      </c>
      <c r="D24" s="51">
        <f>(B24-C24)/(assumevalidBlockTime/365)</f>
        <v>-57.001896449497771</v>
      </c>
      <c r="E24" s="50">
        <f>(D24*KBperGB/secondsPerYear)*secondsPerBlock/1000</f>
        <v>-1.0845109674561981</v>
      </c>
      <c r="F24" s="57">
        <f>E24*1000*1000/(secondsPerBlock*avgTrSize)</f>
        <v>-3.805301640197186</v>
      </c>
      <c r="G24" s="52"/>
      <c r="H24" s="52"/>
      <c r="I24" s="52"/>
      <c r="J24" s="52"/>
      <c r="K24" s="52"/>
    </row>
    <row r="25" spans="1:11" x14ac:dyDescent="0.25">
      <c r="A25" s="52">
        <v>9</v>
      </c>
      <c r="B25" s="242">
        <f>avgSyncBandwidth90p*syncResourceRatio90p*mbToGB*secondsPerYear*POWER(1+bandwidthGrowth,A25)*syncTime90p/365</f>
        <v>55.113883867655716</v>
      </c>
      <c r="C25" s="75">
        <f xml:space="preserve"> C24 + MIN(C24*utxoGrowth, curMaxBlocksize*secondsPerYear/secondsPerBlock/KBperGB)</f>
        <v>115.330078125</v>
      </c>
      <c r="D25" s="51">
        <f>(B25-C25)/(assumevalidBlockTime/365)</f>
        <v>-104.66148049490793</v>
      </c>
      <c r="E25" s="50">
        <f>(D25*KBperGB/secondsPerYear)*secondsPerBlock/1000</f>
        <v>-1.9912762651238189</v>
      </c>
      <c r="F25" s="57">
        <f>E25*1000*1000/(secondsPerBlock*avgTrSize)</f>
        <v>-6.9869342635923477</v>
      </c>
      <c r="G25" s="52"/>
      <c r="H25" s="52"/>
      <c r="I25" s="52"/>
      <c r="J25" s="52"/>
      <c r="K25" s="52"/>
    </row>
    <row r="26" spans="1:11" x14ac:dyDescent="0.25">
      <c r="A26" s="52">
        <v>10</v>
      </c>
      <c r="B26" s="242">
        <f>avgSyncBandwidth90p*syncResourceRatio90p*mbToGB*secondsPerYear*POWER(1+bandwidthGrowth,A26)*syncTime90p/365</f>
        <v>68.892354834569645</v>
      </c>
      <c r="C26" s="75">
        <f xml:space="preserve"> C25 + MIN(C25*utxoGrowth, curMaxBlocksize*secondsPerYear/secondsPerBlock/KBperGB)</f>
        <v>172.9951171875</v>
      </c>
      <c r="D26" s="51">
        <f>(B26-C26)/(assumevalidBlockTime/365)</f>
        <v>-180.94051551818848</v>
      </c>
      <c r="E26" s="50">
        <f>(D26*KBperGB/secondsPerYear)*secondsPerBlock/1000</f>
        <v>-3.4425516651101309</v>
      </c>
      <c r="F26" s="57">
        <f>E26*1000*1000/(secondsPerBlock*avgTrSize)</f>
        <v>-12.079128649509231</v>
      </c>
      <c r="G26" s="52"/>
      <c r="H26" s="52"/>
      <c r="I26" s="52"/>
      <c r="J26" s="52"/>
      <c r="K26" s="52"/>
    </row>
    <row r="27" spans="1:11" x14ac:dyDescent="0.25">
      <c r="A27" s="52">
        <v>11</v>
      </c>
      <c r="B27" s="242">
        <f>avgSyncBandwidth90p*syncResourceRatio90p*mbToGB*secondsPerYear*POWER(1+bandwidthGrowth,A27)*syncTime90p/365</f>
        <v>86.115443543212052</v>
      </c>
      <c r="C27" s="75">
        <f xml:space="preserve"> C26 + MIN(C26*utxoGrowth, curMaxBlocksize*secondsPerYear/secondsPerBlock/KBperGB)</f>
        <v>259.49267578125</v>
      </c>
      <c r="D27" s="51">
        <f>(B27-C27)/(assumevalidBlockTime/365)</f>
        <v>-301.34614174706599</v>
      </c>
      <c r="E27" s="50">
        <f>(D27*KBperGB/secondsPerYear)*secondsPerBlock/1000</f>
        <v>-5.7333740819456986</v>
      </c>
      <c r="F27" s="57">
        <f>E27*1000*1000/(secondsPerBlock*avgTrSize)</f>
        <v>-20.117102041914734</v>
      </c>
      <c r="G27" s="52"/>
      <c r="H27" s="52"/>
      <c r="I27" s="52"/>
      <c r="J27" s="52"/>
      <c r="K27" s="52"/>
    </row>
    <row r="28" spans="1:11" x14ac:dyDescent="0.25">
      <c r="A28" s="52">
        <v>12</v>
      </c>
      <c r="B28" s="242">
        <f>avgSyncBandwidth90p*syncResourceRatio90p*mbToGB*secondsPerYear*POWER(1+bandwidthGrowth,A28)*syncTime90p/365</f>
        <v>107.64430442901507</v>
      </c>
      <c r="C28" s="75">
        <f xml:space="preserve"> C27 + MIN(C27*utxoGrowth, curMaxBlocksize*secondsPerYear/secondsPerBlock/KBperGB)</f>
        <v>364.61267578125</v>
      </c>
      <c r="D28" s="51">
        <f>(B28-C28)/(assumevalidBlockTime/365)</f>
        <v>-446.63550258840837</v>
      </c>
      <c r="E28" s="50">
        <f>(D28*KBperGB/secondsPerYear)*secondsPerBlock/1000</f>
        <v>-8.4976313277855482</v>
      </c>
      <c r="F28" s="57">
        <f>E28*1000*1000/(secondsPerBlock*avgTrSize)</f>
        <v>-29.816250272931747</v>
      </c>
      <c r="G28" s="52"/>
      <c r="H28" s="52"/>
      <c r="I28" s="52"/>
      <c r="J28" s="52"/>
      <c r="K28" s="52"/>
    </row>
    <row r="29" spans="1:11" x14ac:dyDescent="0.25">
      <c r="A29" s="52">
        <v>13</v>
      </c>
      <c r="B29" s="242">
        <f>avgSyncBandwidth90p*syncResourceRatio90p*mbToGB*secondsPerYear*POWER(1+bandwidthGrowth,A29)*syncTime90p/365</f>
        <v>134.55538053626884</v>
      </c>
      <c r="C29" s="75">
        <f xml:space="preserve"> C28 + MIN(C28*utxoGrowth, curMaxBlocksize*secondsPerYear/secondsPerBlock/KBperGB)</f>
        <v>469.73267578125001</v>
      </c>
      <c r="D29" s="51">
        <f>(B29-C29)/(assumevalidBlockTime/365)</f>
        <v>-582.57006078294353</v>
      </c>
      <c r="E29" s="50">
        <f>(D29*KBperGB/secondsPerYear)*secondsPerBlock/1000</f>
        <v>-11.083905266037739</v>
      </c>
      <c r="F29" s="57">
        <f>E29*1000*1000/(secondsPerBlock*avgTrSize)</f>
        <v>-38.890895670307856</v>
      </c>
      <c r="G29" s="52"/>
      <c r="H29" s="52"/>
      <c r="I29" s="52"/>
      <c r="J29" s="52"/>
      <c r="K29" s="52"/>
    </row>
    <row r="30" spans="1:11" x14ac:dyDescent="0.25">
      <c r="A30" s="52">
        <v>14</v>
      </c>
      <c r="B30" s="242">
        <f>avgSyncBandwidth90p*syncResourceRatio90p*mbToGB*secondsPerYear*POWER(1+bandwidthGrowth,A30)*syncTime90p/365</f>
        <v>168.19422567033607</v>
      </c>
      <c r="C30" s="75">
        <f xml:space="preserve"> C29 + MIN(C29*utxoGrowth, curMaxBlocksize*secondsPerYear/secondsPerBlock/KBperGB)</f>
        <v>574.85267578125001</v>
      </c>
      <c r="D30" s="51">
        <f>(B30-C30)/(assumevalidBlockTime/365)</f>
        <v>-706.81111566896948</v>
      </c>
      <c r="E30" s="50">
        <f>(D30*KBperGB/secondsPerYear)*secondsPerBlock/1000</f>
        <v>-13.447700069805354</v>
      </c>
      <c r="F30" s="57">
        <f>E30*1000*1000/(secondsPerBlock*avgTrSize)</f>
        <v>-47.184912525632818</v>
      </c>
      <c r="G30" s="52"/>
      <c r="H30" s="52"/>
      <c r="I30" s="52"/>
      <c r="J30" s="52"/>
      <c r="K30" s="52"/>
    </row>
    <row r="31" spans="1:11" x14ac:dyDescent="0.25">
      <c r="A31" s="52">
        <v>15</v>
      </c>
      <c r="B31" s="242">
        <f>avgSyncBandwidth90p*syncResourceRatio90p*mbToGB*secondsPerYear*POWER(1+bandwidthGrowth,A31)*syncTime90p/365</f>
        <v>210.24278208792006</v>
      </c>
      <c r="C31" s="75">
        <f xml:space="preserve"> C30 + MIN(C30*utxoGrowth, curMaxBlocksize*secondsPerYear/secondsPerBlock/KBperGB)</f>
        <v>679.97267578125002</v>
      </c>
      <c r="D31" s="51">
        <f>(B31-C31)/(assumevalidBlockTime/365)</f>
        <v>-816.43529141935926</v>
      </c>
      <c r="E31" s="50">
        <f>(D31*KBperGB/secondsPerYear)*secondsPerBlock/1000</f>
        <v>-15.53339595546726</v>
      </c>
      <c r="F31" s="57">
        <f>E31*1000*1000/(secondsPerBlock*avgTrSize)</f>
        <v>-54.503143703393896</v>
      </c>
      <c r="G31" s="52"/>
      <c r="H31" s="52"/>
      <c r="I31" s="52"/>
      <c r="J31" s="52"/>
      <c r="K31" s="52"/>
    </row>
    <row r="32" spans="1:11" x14ac:dyDescent="0.25">
      <c r="A32" s="52"/>
      <c r="B32" s="52"/>
      <c r="C32" s="52"/>
      <c r="D32" s="52"/>
      <c r="E32" s="52"/>
      <c r="F32" s="63"/>
      <c r="G32" s="52"/>
      <c r="H32" s="52"/>
      <c r="I32" s="52"/>
      <c r="J32" s="52"/>
      <c r="K32" s="52"/>
    </row>
    <row r="33" spans="1:14" x14ac:dyDescent="0.25">
      <c r="A33" s="56" t="s">
        <v>77</v>
      </c>
    </row>
    <row r="34" spans="1:14" s="52" customFormat="1" x14ac:dyDescent="0.25">
      <c r="A34" s="79"/>
      <c r="B34" s="80"/>
      <c r="E34" s="78"/>
      <c r="F34" s="78"/>
      <c r="G34" s="78"/>
      <c r="H34" s="78"/>
      <c r="I34" s="86"/>
      <c r="J34" s="86"/>
      <c r="K34" s="78"/>
      <c r="L34" s="78"/>
      <c r="M34" s="78"/>
      <c r="N34" s="78"/>
    </row>
    <row r="35" spans="1:14" s="52" customFormat="1" x14ac:dyDescent="0.25">
      <c r="A35" s="80" t="s">
        <v>6</v>
      </c>
      <c r="B35" s="285" t="s">
        <v>75</v>
      </c>
      <c r="C35" s="86"/>
      <c r="D35" s="86"/>
      <c r="E35" s="86"/>
      <c r="F35" s="86"/>
      <c r="G35" s="78"/>
      <c r="H35" s="78"/>
      <c r="I35" s="86"/>
      <c r="J35" s="86"/>
      <c r="K35" s="78"/>
      <c r="L35" s="78"/>
      <c r="M35" s="78"/>
      <c r="N35" s="78"/>
    </row>
    <row r="36" spans="1:14" s="52" customFormat="1" x14ac:dyDescent="0.25">
      <c r="A36" s="56"/>
    </row>
    <row r="37" spans="1:14" s="52" customFormat="1" x14ac:dyDescent="0.25">
      <c r="A37" s="56"/>
      <c r="B37" s="53" t="s">
        <v>88</v>
      </c>
      <c r="C37" s="69" t="s">
        <v>84</v>
      </c>
      <c r="D37" s="79" t="s">
        <v>89</v>
      </c>
      <c r="E37" s="79" t="s">
        <v>29</v>
      </c>
    </row>
    <row r="38" spans="1:14" s="52" customFormat="1" x14ac:dyDescent="0.25">
      <c r="A38" s="55" t="s">
        <v>7</v>
      </c>
      <c r="B38" s="53" t="s">
        <v>67</v>
      </c>
      <c r="C38" s="69" t="s">
        <v>8</v>
      </c>
      <c r="D38" s="79" t="s">
        <v>67</v>
      </c>
      <c r="E38" s="79" t="s">
        <v>30</v>
      </c>
      <c r="F38" s="53" t="s">
        <v>19</v>
      </c>
    </row>
    <row r="39" spans="1:14" s="52" customFormat="1" x14ac:dyDescent="0.25">
      <c r="A39" s="52">
        <v>0</v>
      </c>
      <c r="B39" s="92">
        <f>avgSyncBandwidth90p*syncResourceRatio90p*mbToGB*secondsPerYear*POWER(1+bandwidthGrowth,A39)*historicalSyncTime90pf/365</f>
        <v>63.405088062622312</v>
      </c>
      <c r="C39" s="51">
        <f>avgSyncBandwidth90p*syncResourceRatio90p*LN(1+bandwidthGrowth)*mbToGB*secondsPerYear*POWER(1+bandwidthGrowth,A39)*historicalSyncTime90pf/365</f>
        <v>14.148436521683752</v>
      </c>
      <c r="D39" s="92">
        <f>B39+C39*assumevalidBlockTime/365</f>
        <v>71.54528441756365</v>
      </c>
      <c r="E39" s="39">
        <f>(B39*KBperGB/secondsPerYear)*secondsPerBlock/1000</f>
        <v>1.2063372919068172</v>
      </c>
      <c r="F39" s="57">
        <f>E39*1000*1000/(secondsPerBlock*avgTrSize)</f>
        <v>4.2327624277432179</v>
      </c>
    </row>
    <row r="40" spans="1:14" s="52" customFormat="1" x14ac:dyDescent="0.25">
      <c r="A40" s="52">
        <v>1</v>
      </c>
      <c r="B40" s="254">
        <f>avgSyncBandwidth90p*syncResourceRatio90p*mbToGB*secondsPerYear*POWER(1+bandwidthGrowth,A40)*historicalSyncTime90pf/365</f>
        <v>79.256360078277893</v>
      </c>
      <c r="C40" s="255">
        <f>avgSyncBandwidth90p*syncResourceRatio90p*LN(1+bandwidthGrowth)*mbToGB*secondsPerYear*POWER(1+bandwidthGrowth,A40)*historicalSyncTime90pf/365</f>
        <v>17.68554565210469</v>
      </c>
      <c r="D40" s="92">
        <f>B40+C40*assumevalidBlockTime/365</f>
        <v>89.431605521954566</v>
      </c>
      <c r="E40" s="39">
        <f>(B40*KBperGB/secondsPerYear)*secondsPerBlock/1000</f>
        <v>1.5079216148835217</v>
      </c>
      <c r="F40" s="57">
        <f>E40*1000*1000/(secondsPerBlock*avgTrSize)</f>
        <v>5.2909530346790232</v>
      </c>
    </row>
    <row r="41" spans="1:14" s="52" customFormat="1" x14ac:dyDescent="0.25">
      <c r="A41" s="52">
        <v>2</v>
      </c>
      <c r="B41" s="254">
        <f>avgSyncBandwidth90p*syncResourceRatio90p*mbToGB*secondsPerYear*POWER(1+bandwidthGrowth,A41)*historicalSyncTime90pf/365</f>
        <v>99.07045009784737</v>
      </c>
      <c r="C41" s="255">
        <f>avgSyncBandwidth90p*syncResourceRatio90p*LN(1+bandwidthGrowth)*mbToGB*secondsPerYear*POWER(1+bandwidthGrowth,A41)*historicalSyncTime90pf/365</f>
        <v>22.106932065130859</v>
      </c>
      <c r="D41" s="92">
        <f>B41+C41*assumevalidBlockTime/365</f>
        <v>111.78950690244321</v>
      </c>
      <c r="E41" s="39">
        <f>(B41*KBperGB/secondsPerYear)*secondsPerBlock/1000</f>
        <v>1.8849020186044021</v>
      </c>
      <c r="F41" s="57">
        <f>E41*1000*1000/(secondsPerBlock*avgTrSize)</f>
        <v>6.6136912933487793</v>
      </c>
    </row>
    <row r="42" spans="1:14" s="52" customFormat="1" x14ac:dyDescent="0.25">
      <c r="A42" s="52">
        <v>3</v>
      </c>
      <c r="B42" s="254">
        <f>avgSyncBandwidth90p*syncResourceRatio90p*mbToGB*secondsPerYear*POWER(1+bandwidthGrowth,A42)*historicalSyncTime90pf/365</f>
        <v>123.83806262230921</v>
      </c>
      <c r="C42" s="255">
        <f>avgSyncBandwidth90p*syncResourceRatio90p*LN(1+bandwidthGrowth)*mbToGB*secondsPerYear*POWER(1+bandwidthGrowth,A42)*historicalSyncTime90pf/365</f>
        <v>27.633665081413575</v>
      </c>
      <c r="D42" s="92">
        <f>B42+C42*assumevalidBlockTime/365</f>
        <v>139.73688362805402</v>
      </c>
      <c r="E42" s="39">
        <f>(B42*KBperGB/secondsPerYear)*secondsPerBlock/1000</f>
        <v>2.3561275232555023</v>
      </c>
      <c r="F42" s="57">
        <f>E42*1000*1000/(secondsPerBlock*avgTrSize)</f>
        <v>8.2671141166859723</v>
      </c>
    </row>
    <row r="43" spans="1:14" s="52" customFormat="1" x14ac:dyDescent="0.25">
      <c r="A43" s="52">
        <v>4</v>
      </c>
      <c r="B43" s="254">
        <f>avgSyncBandwidth90p*syncResourceRatio90p*mbToGB*secondsPerYear*POWER(1+bandwidthGrowth,A43)*historicalSyncTime90pf/365</f>
        <v>154.79757827788649</v>
      </c>
      <c r="C43" s="255">
        <f>avgSyncBandwidth90p*syncResourceRatio90p*LN(1+bandwidthGrowth)*mbToGB*secondsPerYear*POWER(1+bandwidthGrowth,A43)*historicalSyncTime90pf/365</f>
        <v>34.542081351766974</v>
      </c>
      <c r="D43" s="92">
        <f>B43+C43*assumevalidBlockTime/365</f>
        <v>174.67110453506749</v>
      </c>
      <c r="E43" s="39">
        <f>(B43*KBperGB/secondsPerYear)*secondsPerBlock/1000</f>
        <v>2.9451594040693778</v>
      </c>
      <c r="F43" s="57">
        <f>E43*1000*1000/(secondsPerBlock*avgTrSize)</f>
        <v>10.333892645857466</v>
      </c>
    </row>
    <row r="44" spans="1:14" s="52" customFormat="1" x14ac:dyDescent="0.25">
      <c r="A44" s="52">
        <v>5</v>
      </c>
      <c r="B44" s="254">
        <f>avgSyncBandwidth90p*syncResourceRatio90p*mbToGB*secondsPerYear*POWER(1+bandwidthGrowth,A44)*historicalSyncTime90pf/365</f>
        <v>193.49697284735814</v>
      </c>
      <c r="C44" s="255">
        <f>avgSyncBandwidth90p*syncResourceRatio90p*LN(1+bandwidthGrowth)*mbToGB*secondsPerYear*POWER(1+bandwidthGrowth,A44)*historicalSyncTime90pf/365</f>
        <v>43.177601689708716</v>
      </c>
      <c r="D44" s="92">
        <f>B44+C44*assumevalidBlockTime/365</f>
        <v>218.33888066883438</v>
      </c>
      <c r="E44" s="39">
        <f>(B44*KBperGB/secondsPerYear)*secondsPerBlock/1000</f>
        <v>3.6814492550867226</v>
      </c>
      <c r="F44" s="57">
        <f>E44*1000*1000/(secondsPerBlock*avgTrSize)</f>
        <v>12.917365807321834</v>
      </c>
    </row>
    <row r="45" spans="1:14" s="52" customFormat="1" x14ac:dyDescent="0.25">
      <c r="A45" s="52">
        <v>6</v>
      </c>
      <c r="B45" s="254">
        <f>avgSyncBandwidth90p*syncResourceRatio90p*mbToGB*secondsPerYear*POWER(1+bandwidthGrowth,A45)*historicalSyncTime90pf/365</f>
        <v>241.87121605919765</v>
      </c>
      <c r="C45" s="255">
        <f>avgSyncBandwidth90p*syncResourceRatio90p*LN(1+bandwidthGrowth)*mbToGB*secondsPerYear*POWER(1+bandwidthGrowth,A45)*historicalSyncTime90pf/365</f>
        <v>53.972002112135897</v>
      </c>
      <c r="D45" s="92">
        <f>B45+C45*assumevalidBlockTime/365</f>
        <v>272.92360083604297</v>
      </c>
      <c r="E45" s="39">
        <f>(B45*KBperGB/secondsPerYear)*secondsPerBlock/1000</f>
        <v>4.6018115688584027</v>
      </c>
      <c r="F45" s="57">
        <f>E45*1000*1000/(secondsPerBlock*avgTrSize)</f>
        <v>16.14670725915229</v>
      </c>
    </row>
    <row r="46" spans="1:14" s="52" customFormat="1" x14ac:dyDescent="0.25">
      <c r="A46" s="52">
        <v>7</v>
      </c>
      <c r="B46" s="254">
        <f>avgSyncBandwidth90p*syncResourceRatio90p*mbToGB*secondsPerYear*POWER(1+bandwidthGrowth,A46)*historicalSyncTime90pf/365</f>
        <v>302.33902007399706</v>
      </c>
      <c r="C46" s="255">
        <f>avgSyncBandwidth90p*syncResourceRatio90p*LN(1+bandwidthGrowth)*mbToGB*secondsPerYear*POWER(1+bandwidthGrowth,A46)*historicalSyncTime90pf/365</f>
        <v>67.465002640169857</v>
      </c>
      <c r="D46" s="92">
        <f>B46+C46*assumevalidBlockTime/365</f>
        <v>341.15450104505368</v>
      </c>
      <c r="E46" s="39">
        <f>(B46*KBperGB/secondsPerYear)*secondsPerBlock/1000</f>
        <v>5.752264461073004</v>
      </c>
      <c r="F46" s="57">
        <f>E46*1000*1000/(secondsPerBlock*avgTrSize)</f>
        <v>20.183384073940363</v>
      </c>
    </row>
    <row r="47" spans="1:14" s="52" customFormat="1" x14ac:dyDescent="0.25">
      <c r="A47" s="52">
        <v>8</v>
      </c>
      <c r="B47" s="254">
        <f>avgSyncBandwidth90p*syncResourceRatio90p*mbToGB*secondsPerYear*POWER(1+bandwidthGrowth,A47)*historicalSyncTime90pf/365</f>
        <v>377.92377509249633</v>
      </c>
      <c r="C47" s="255">
        <f>avgSyncBandwidth90p*syncResourceRatio90p*LN(1+bandwidthGrowth)*mbToGB*secondsPerYear*POWER(1+bandwidthGrowth,A47)*historicalSyncTime90pf/365</f>
        <v>84.331253300212325</v>
      </c>
      <c r="D47" s="92">
        <f>B47+C47*assumevalidBlockTime/365</f>
        <v>426.44312630631714</v>
      </c>
      <c r="E47" s="39">
        <f>(B47*KBperGB/secondsPerYear)*secondsPerBlock/1000</f>
        <v>7.1903305763412533</v>
      </c>
      <c r="F47" s="57">
        <f>E47*1000*1000/(secondsPerBlock*avgTrSize)</f>
        <v>25.229230092425453</v>
      </c>
    </row>
    <row r="48" spans="1:14" s="52" customFormat="1" x14ac:dyDescent="0.25">
      <c r="A48" s="52">
        <v>9</v>
      </c>
      <c r="B48" s="254">
        <f>avgSyncBandwidth90p*syncResourceRatio90p*mbToGB*secondsPerYear*POWER(1+bandwidthGrowth,A48)*historicalSyncTime90pf/365</f>
        <v>472.4047188656204</v>
      </c>
      <c r="C48" s="255">
        <f>avgSyncBandwidth90p*syncResourceRatio90p*LN(1+bandwidthGrowth)*mbToGB*secondsPerYear*POWER(1+bandwidthGrowth,A48)*historicalSyncTime90pf/365</f>
        <v>105.41406662526542</v>
      </c>
      <c r="D48" s="92">
        <f>B48+C48*assumevalidBlockTime/365</f>
        <v>533.0539078828964</v>
      </c>
      <c r="E48" s="39">
        <f>(B48*KBperGB/secondsPerYear)*secondsPerBlock/1000</f>
        <v>8.9879132204265666</v>
      </c>
      <c r="F48" s="57">
        <f>E48*1000*1000/(secondsPerBlock*avgTrSize)</f>
        <v>31.536537615531813</v>
      </c>
    </row>
    <row r="49" spans="1:14" s="52" customFormat="1" x14ac:dyDescent="0.25">
      <c r="A49" s="52">
        <v>10</v>
      </c>
      <c r="B49" s="254">
        <f>avgSyncBandwidth90p*syncResourceRatio90p*mbToGB*secondsPerYear*POWER(1+bandwidthGrowth,A49)*historicalSyncTime90pf/365</f>
        <v>590.50589858202557</v>
      </c>
      <c r="C49" s="255">
        <f>avgSyncBandwidth90p*syncResourceRatio90p*LN(1+bandwidthGrowth)*mbToGB*secondsPerYear*POWER(1+bandwidthGrowth,A49)*historicalSyncTime90pf/365</f>
        <v>131.76758328158175</v>
      </c>
      <c r="D49" s="92">
        <f>B49+C49*assumevalidBlockTime/365</f>
        <v>666.31738485362052</v>
      </c>
      <c r="E49" s="39">
        <f>(B49*KBperGB/secondsPerYear)*secondsPerBlock/1000</f>
        <v>11.234891525533211</v>
      </c>
      <c r="F49" s="57">
        <f>E49*1000*1000/(secondsPerBlock*avgTrSize)</f>
        <v>39.420672019414774</v>
      </c>
    </row>
    <row r="50" spans="1:14" s="52" customFormat="1" x14ac:dyDescent="0.25">
      <c r="A50" s="52">
        <v>11</v>
      </c>
      <c r="B50" s="254">
        <f>avgSyncBandwidth90p*syncResourceRatio90p*mbToGB*secondsPerYear*POWER(1+bandwidthGrowth,A50)*historicalSyncTime90pf/365</f>
        <v>738.13237322753184</v>
      </c>
      <c r="C50" s="255">
        <f>avgSyncBandwidth90p*syncResourceRatio90p*LN(1+bandwidthGrowth)*mbToGB*secondsPerYear*POWER(1+bandwidthGrowth,A50)*historicalSyncTime90pf/365</f>
        <v>164.70947910197719</v>
      </c>
      <c r="D50" s="92">
        <f>B50+C50*assumevalidBlockTime/365</f>
        <v>832.8967310670256</v>
      </c>
      <c r="E50" s="39">
        <f>(B50*KBperGB/secondsPerYear)*secondsPerBlock/1000</f>
        <v>14.043614406916511</v>
      </c>
      <c r="F50" s="57">
        <f>E50*1000*1000/(secondsPerBlock*avgTrSize)</f>
        <v>49.275840024268454</v>
      </c>
    </row>
    <row r="51" spans="1:14" s="52" customFormat="1" x14ac:dyDescent="0.25">
      <c r="A51" s="52">
        <v>12</v>
      </c>
      <c r="B51" s="254">
        <f>avgSyncBandwidth90p*syncResourceRatio90p*mbToGB*secondsPerYear*POWER(1+bandwidthGrowth,A51)*historicalSyncTime90pf/365</f>
        <v>922.66546653441492</v>
      </c>
      <c r="C51" s="255">
        <f>avgSyncBandwidth90p*syncResourceRatio90p*LN(1+bandwidthGrowth)*mbToGB*secondsPerYear*POWER(1+bandwidthGrowth,A51)*historicalSyncTime90pf/365</f>
        <v>205.88684887747149</v>
      </c>
      <c r="D51" s="92">
        <f>B51+C51*assumevalidBlockTime/365</f>
        <v>1041.1209138337822</v>
      </c>
      <c r="E51" s="39">
        <f>(B51*KBperGB/secondsPerYear)*secondsPerBlock/1000</f>
        <v>17.55451800864564</v>
      </c>
      <c r="F51" s="57">
        <f>E51*1000*1000/(secondsPerBlock*avgTrSize)</f>
        <v>61.594800030335591</v>
      </c>
    </row>
    <row r="52" spans="1:14" s="52" customFormat="1" x14ac:dyDescent="0.25">
      <c r="A52" s="52">
        <v>13</v>
      </c>
      <c r="B52" s="254">
        <f>avgSyncBandwidth90p*syncResourceRatio90p*mbToGB*secondsPerYear*POWER(1+bandwidthGrowth,A52)*historicalSyncTime90pf/365</f>
        <v>1153.3318331680186</v>
      </c>
      <c r="C52" s="255">
        <f>avgSyncBandwidth90p*syncResourceRatio90p*LN(1+bandwidthGrowth)*mbToGB*secondsPerYear*POWER(1+bandwidthGrowth,A52)*historicalSyncTime90pf/365</f>
        <v>257.35856109683942</v>
      </c>
      <c r="D52" s="92">
        <f>B52+C52*assumevalidBlockTime/365</f>
        <v>1301.4011422922276</v>
      </c>
      <c r="E52" s="39">
        <f>(B52*KBperGB/secondsPerYear)*secondsPerBlock/1000</f>
        <v>21.943147510807052</v>
      </c>
      <c r="F52" s="57">
        <f>E52*1000*1000/(secondsPerBlock*avgTrSize)</f>
        <v>76.993500037919475</v>
      </c>
    </row>
    <row r="53" spans="1:14" s="52" customFormat="1" x14ac:dyDescent="0.25">
      <c r="A53" s="52">
        <v>14</v>
      </c>
      <c r="B53" s="254">
        <f>avgSyncBandwidth90p*syncResourceRatio90p*mbToGB*secondsPerYear*POWER(1+bandwidthGrowth,A53)*historicalSyncTime90pf/365</f>
        <v>1441.6647914600233</v>
      </c>
      <c r="C53" s="255">
        <f>avgSyncBandwidth90p*syncResourceRatio90p*LN(1+bandwidthGrowth)*mbToGB*secondsPerYear*POWER(1+bandwidthGrowth,A53)*historicalSyncTime90pf/365</f>
        <v>321.69820137104921</v>
      </c>
      <c r="D53" s="92">
        <f>B53+C53*assumevalidBlockTime/365</f>
        <v>1626.7514278652843</v>
      </c>
      <c r="E53" s="39">
        <f>(B53*KBperGB/secondsPerYear)*secondsPerBlock/1000</f>
        <v>27.428934388508814</v>
      </c>
      <c r="F53" s="57">
        <f>E53*1000*1000/(secondsPerBlock*avgTrSize)</f>
        <v>96.241875047399333</v>
      </c>
    </row>
    <row r="54" spans="1:14" s="52" customFormat="1" x14ac:dyDescent="0.25">
      <c r="A54" s="52">
        <v>15</v>
      </c>
      <c r="B54" s="254">
        <f>avgSyncBandwidth90p*syncResourceRatio90p*mbToGB*secondsPerYear*POWER(1+bandwidthGrowth,A54)*historicalSyncTime90pf/365</f>
        <v>1802.0809893250289</v>
      </c>
      <c r="C54" s="255">
        <f>avgSyncBandwidth90p*syncResourceRatio90p*LN(1+bandwidthGrowth)*mbToGB*secondsPerYear*POWER(1+bandwidthGrowth,A54)*historicalSyncTime90pf/365</f>
        <v>402.12275171381157</v>
      </c>
      <c r="D54" s="92">
        <f>B54+C54*assumevalidBlockTime/365</f>
        <v>2033.4392848316054</v>
      </c>
      <c r="E54" s="39">
        <f>(B54*KBperGB/secondsPerYear)*secondsPerBlock/1000</f>
        <v>34.286167985636013</v>
      </c>
      <c r="F54" s="57">
        <f>E54*1000*1000/(secondsPerBlock*avgTrSize)</f>
        <v>120.30234380924917</v>
      </c>
    </row>
    <row r="55" spans="1:14" s="28" customFormat="1" x14ac:dyDescent="0.25"/>
    <row r="56" spans="1:14" x14ac:dyDescent="0.25">
      <c r="A56" s="56" t="s">
        <v>83</v>
      </c>
    </row>
    <row r="57" spans="1:14" s="52" customFormat="1" x14ac:dyDescent="0.25">
      <c r="A57" s="79"/>
      <c r="B57" s="80"/>
      <c r="E57" s="78"/>
      <c r="F57" s="78"/>
      <c r="G57" s="78"/>
      <c r="H57" s="78"/>
      <c r="I57" s="86"/>
      <c r="J57" s="86"/>
      <c r="K57" s="78"/>
      <c r="L57" s="78"/>
      <c r="M57" s="78"/>
      <c r="N57" s="78"/>
    </row>
    <row r="58" spans="1:14" s="52" customFormat="1" x14ac:dyDescent="0.25">
      <c r="A58" s="80" t="s">
        <v>6</v>
      </c>
      <c r="B58" s="285" t="s">
        <v>75</v>
      </c>
      <c r="C58" s="86"/>
      <c r="D58" s="86"/>
      <c r="E58" s="86"/>
      <c r="F58" s="86"/>
      <c r="G58" s="78"/>
      <c r="H58" s="155"/>
      <c r="I58" s="86"/>
      <c r="J58" s="86"/>
      <c r="K58" s="78"/>
      <c r="L58" s="78"/>
      <c r="M58" s="78"/>
      <c r="N58" s="78"/>
    </row>
    <row r="59" spans="1:14" s="52" customFormat="1" x14ac:dyDescent="0.25">
      <c r="A59" s="56"/>
      <c r="F59" s="146"/>
    </row>
    <row r="60" spans="1:14" s="52" customFormat="1" x14ac:dyDescent="0.25">
      <c r="B60" s="69" t="s">
        <v>29</v>
      </c>
      <c r="C60" s="161" t="s">
        <v>29</v>
      </c>
      <c r="D60" s="69"/>
    </row>
    <row r="61" spans="1:14" s="52" customFormat="1" x14ac:dyDescent="0.25">
      <c r="A61" s="55" t="s">
        <v>7</v>
      </c>
      <c r="B61" s="69" t="s">
        <v>26</v>
      </c>
      <c r="C61" s="161" t="s">
        <v>181</v>
      </c>
      <c r="D61" s="69" t="s">
        <v>16</v>
      </c>
      <c r="F61" s="69"/>
      <c r="H61" s="161"/>
    </row>
    <row r="62" spans="1:14" s="52" customFormat="1" x14ac:dyDescent="0.25">
      <c r="A62" s="52">
        <v>0</v>
      </c>
      <c r="B62" s="67">
        <f>validationRate90p*syncResourceRatio90p*POWER(1+cpuGrowth,A62)*syncTime90p*secondsPerYear/365/1000/1000</f>
        <v>90.72</v>
      </c>
      <c r="C62" s="72">
        <f>B62*1000*1000/(assumevalidBlockTime*secondsPerYear/365)</f>
        <v>5</v>
      </c>
      <c r="D62" s="50">
        <f>C62*(avgTrSize/1000/1000)*secondsPerBlock</f>
        <v>1.425</v>
      </c>
      <c r="F62" s="72"/>
    </row>
    <row r="63" spans="1:14" s="52" customFormat="1" x14ac:dyDescent="0.25">
      <c r="A63" s="52">
        <v>1</v>
      </c>
      <c r="B63" s="262">
        <f>validationRate90p*syncResourceRatio90p*POWER(1+cpuGrowth,A63)*syncTime90p*secondsPerYear/365/1000/1000</f>
        <v>106.14239999999999</v>
      </c>
      <c r="C63" s="72">
        <f>B63*1000*1000/(assumevalidBlockTime*secondsPerYear/365)</f>
        <v>5.85</v>
      </c>
      <c r="D63" s="50">
        <f>C63*(avgTrSize/1000/1000)*secondsPerBlock</f>
        <v>1.6672499999999999</v>
      </c>
      <c r="F63" s="72"/>
    </row>
    <row r="64" spans="1:14" s="52" customFormat="1" x14ac:dyDescent="0.25">
      <c r="A64" s="52">
        <v>2</v>
      </c>
      <c r="B64" s="262">
        <f>validationRate90p*syncResourceRatio90p*POWER(1+cpuGrowth,A64)*syncTime90p*secondsPerYear/365/1000/1000</f>
        <v>124.18660799999998</v>
      </c>
      <c r="C64" s="72">
        <f>B64*1000*1000/(assumevalidBlockTime*secondsPerYear/365)</f>
        <v>6.8444999999999991</v>
      </c>
      <c r="D64" s="50">
        <f>C64*(avgTrSize/1000/1000)*secondsPerBlock</f>
        <v>1.9506824999999997</v>
      </c>
      <c r="F64" s="72"/>
    </row>
    <row r="65" spans="1:14" s="52" customFormat="1" x14ac:dyDescent="0.25">
      <c r="A65" s="52">
        <v>3</v>
      </c>
      <c r="B65" s="262">
        <f>validationRate90p*syncResourceRatio90p*POWER(1+cpuGrowth,A65)*syncTime90p*secondsPerYear/365/1000/1000</f>
        <v>145.29833135999999</v>
      </c>
      <c r="C65" s="72">
        <f>B65*1000*1000/(assumevalidBlockTime*secondsPerYear/365)</f>
        <v>8.0080649999999984</v>
      </c>
      <c r="D65" s="50">
        <f>C65*(avgTrSize/1000/1000)*secondsPerBlock</f>
        <v>2.2822985249999994</v>
      </c>
      <c r="F65" s="72"/>
    </row>
    <row r="66" spans="1:14" s="52" customFormat="1" x14ac:dyDescent="0.25">
      <c r="A66" s="52">
        <v>4</v>
      </c>
      <c r="B66" s="262">
        <f>validationRate90p*syncResourceRatio90p*POWER(1+cpuGrowth,A66)*syncTime90p*secondsPerYear/365/1000/1000</f>
        <v>169.99904769119996</v>
      </c>
      <c r="C66" s="72">
        <f>B66*1000*1000/(assumevalidBlockTime*secondsPerYear/365)</f>
        <v>9.3694360499999974</v>
      </c>
      <c r="D66" s="50">
        <f>C66*(avgTrSize/1000/1000)*secondsPerBlock</f>
        <v>2.6702892742499991</v>
      </c>
      <c r="F66" s="72"/>
    </row>
    <row r="67" spans="1:14" s="52" customFormat="1" x14ac:dyDescent="0.25">
      <c r="A67" s="52">
        <v>5</v>
      </c>
      <c r="B67" s="262">
        <f>validationRate90p*syncResourceRatio90p*POWER(1+cpuGrowth,A67)*syncTime90p*secondsPerYear/365/1000/1000</f>
        <v>198.8988857987039</v>
      </c>
      <c r="C67" s="72">
        <f>B67*1000*1000/(assumevalidBlockTime*secondsPerYear/365)</f>
        <v>10.962240178499995</v>
      </c>
      <c r="D67" s="50">
        <f>C67*(avgTrSize/1000/1000)*secondsPerBlock</f>
        <v>3.1242384508724985</v>
      </c>
      <c r="F67" s="72"/>
    </row>
    <row r="68" spans="1:14" s="52" customFormat="1" x14ac:dyDescent="0.25">
      <c r="A68" s="52">
        <v>6</v>
      </c>
      <c r="B68" s="262">
        <f>validationRate90p*syncResourceRatio90p*POWER(1+cpuGrowth,A68)*syncTime90p*secondsPerYear/365/1000/1000</f>
        <v>232.71169638448356</v>
      </c>
      <c r="C68" s="72">
        <f>B68*1000*1000/(assumevalidBlockTime*secondsPerYear/365)</f>
        <v>12.825821008844994</v>
      </c>
      <c r="D68" s="50">
        <f>C68*(avgTrSize/1000/1000)*secondsPerBlock</f>
        <v>3.655358987520823</v>
      </c>
      <c r="F68" s="72"/>
    </row>
    <row r="69" spans="1:14" s="52" customFormat="1" x14ac:dyDescent="0.25">
      <c r="A69" s="52">
        <v>7</v>
      </c>
      <c r="B69" s="262">
        <f>validationRate90p*syncResourceRatio90p*POWER(1+cpuGrowth,A69)*syncTime90p*secondsPerYear/365/1000/1000</f>
        <v>272.27268476984574</v>
      </c>
      <c r="C69" s="72">
        <f>B69*1000*1000/(assumevalidBlockTime*secondsPerYear/365)</f>
        <v>15.00621058034864</v>
      </c>
      <c r="D69" s="50">
        <f>C69*(avgTrSize/1000/1000)*secondsPerBlock</f>
        <v>4.2767700153993617</v>
      </c>
      <c r="F69" s="72"/>
    </row>
    <row r="70" spans="1:14" s="52" customFormat="1" x14ac:dyDescent="0.25">
      <c r="A70" s="52">
        <v>8</v>
      </c>
      <c r="B70" s="262">
        <f>validationRate90p*syncResourceRatio90p*POWER(1+cpuGrowth,A70)*syncTime90p*secondsPerYear/365/1000/1000</f>
        <v>318.55904118071953</v>
      </c>
      <c r="C70" s="72">
        <f>B70*1000*1000/(assumevalidBlockTime*secondsPerYear/365)</f>
        <v>17.55726637900791</v>
      </c>
      <c r="D70" s="50">
        <f>C70*(avgTrSize/1000/1000)*secondsPerBlock</f>
        <v>5.0038209180172544</v>
      </c>
      <c r="F70" s="72"/>
    </row>
    <row r="71" spans="1:14" s="52" customFormat="1" x14ac:dyDescent="0.25">
      <c r="A71" s="52">
        <v>9</v>
      </c>
      <c r="B71" s="262">
        <f>validationRate90p*syncResourceRatio90p*POWER(1+cpuGrowth,A71)*syncTime90p*secondsPerYear/365/1000/1000</f>
        <v>372.71407818144178</v>
      </c>
      <c r="C71" s="72">
        <f>B71*1000*1000/(assumevalidBlockTime*secondsPerYear/365)</f>
        <v>20.542001663439251</v>
      </c>
      <c r="D71" s="50">
        <f>C71*(avgTrSize/1000/1000)*secondsPerBlock</f>
        <v>5.8544704740801858</v>
      </c>
      <c r="F71" s="72"/>
    </row>
    <row r="72" spans="1:14" s="52" customFormat="1" x14ac:dyDescent="0.25">
      <c r="A72" s="52">
        <v>10</v>
      </c>
      <c r="B72" s="262">
        <f>validationRate90p*syncResourceRatio90p*POWER(1+cpuGrowth,A72)*syncTime90p*secondsPerYear/365/1000/1000</f>
        <v>436.07547147228695</v>
      </c>
      <c r="C72" s="72">
        <f>B72*1000*1000/(assumevalidBlockTime*secondsPerYear/365)</f>
        <v>24.034141946223926</v>
      </c>
      <c r="D72" s="50">
        <f>C72*(avgTrSize/1000/1000)*secondsPerBlock</f>
        <v>6.8497304546738196</v>
      </c>
      <c r="F72" s="72"/>
    </row>
    <row r="73" spans="1:14" s="52" customFormat="1" x14ac:dyDescent="0.25">
      <c r="A73" s="52">
        <v>11</v>
      </c>
      <c r="B73" s="262">
        <f>validationRate90p*syncResourceRatio90p*POWER(1+cpuGrowth,A73)*syncTime90p*secondsPerYear/365/1000/1000</f>
        <v>510.20830162257562</v>
      </c>
      <c r="C73" s="72">
        <f>B73*1000*1000/(assumevalidBlockTime*secondsPerYear/365)</f>
        <v>28.119946077081991</v>
      </c>
      <c r="D73" s="50">
        <f>C73*(avgTrSize/1000/1000)*secondsPerBlock</f>
        <v>8.0141846319683676</v>
      </c>
      <c r="F73" s="72"/>
    </row>
    <row r="74" spans="1:14" s="52" customFormat="1" x14ac:dyDescent="0.25">
      <c r="A74" s="52">
        <v>12</v>
      </c>
      <c r="B74" s="262">
        <f>validationRate90p*syncResourceRatio90p*POWER(1+cpuGrowth,A74)*syncTime90p*secondsPerYear/365/1000/1000</f>
        <v>596.94371289841342</v>
      </c>
      <c r="C74" s="72">
        <f>B74*1000*1000/(assumevalidBlockTime*secondsPerYear/365)</f>
        <v>32.900336910185928</v>
      </c>
      <c r="D74" s="50">
        <f>C74*(avgTrSize/1000/1000)*secondsPerBlock</f>
        <v>9.3765960194029887</v>
      </c>
      <c r="F74" s="72"/>
    </row>
    <row r="75" spans="1:14" s="52" customFormat="1" x14ac:dyDescent="0.25">
      <c r="A75" s="52">
        <v>13</v>
      </c>
      <c r="B75" s="262">
        <f>validationRate90p*syncResourceRatio90p*POWER(1+cpuGrowth,A75)*syncTime90p*secondsPerYear/365/1000/1000</f>
        <v>698.4241440911436</v>
      </c>
      <c r="C75" s="72">
        <f>B75*1000*1000/(assumevalidBlockTime*secondsPerYear/365)</f>
        <v>38.493394184917527</v>
      </c>
      <c r="D75" s="50">
        <f>C75*(avgTrSize/1000/1000)*secondsPerBlock</f>
        <v>10.970617342701496</v>
      </c>
      <c r="F75" s="72"/>
    </row>
    <row r="76" spans="1:14" s="52" customFormat="1" x14ac:dyDescent="0.25">
      <c r="A76" s="52">
        <v>14</v>
      </c>
      <c r="B76" s="262">
        <f>validationRate90p*syncResourceRatio90p*POWER(1+cpuGrowth,A76)*syncTime90p*secondsPerYear/365/1000/1000</f>
        <v>817.15624858663818</v>
      </c>
      <c r="C76" s="72">
        <f>B76*1000*1000/(assumevalidBlockTime*secondsPerYear/365)</f>
        <v>45.037271196353508</v>
      </c>
      <c r="D76" s="50">
        <f>C76*(avgTrSize/1000/1000)*secondsPerBlock</f>
        <v>12.835622290960751</v>
      </c>
      <c r="F76" s="72"/>
    </row>
    <row r="77" spans="1:14" s="52" customFormat="1" x14ac:dyDescent="0.25">
      <c r="A77" s="52">
        <v>15</v>
      </c>
      <c r="B77" s="262">
        <f>validationRate90p*syncResourceRatio90p*POWER(1+cpuGrowth,A77)*syncTime90p*secondsPerYear/365/1000/1000</f>
        <v>956.07281084636656</v>
      </c>
      <c r="C77" s="72">
        <f>B77*1000*1000/(assumevalidBlockTime*secondsPerYear/365)</f>
        <v>52.693607299733607</v>
      </c>
      <c r="D77" s="50">
        <f>C77*(avgTrSize/1000/1000)*secondsPerBlock</f>
        <v>15.017678080424078</v>
      </c>
      <c r="F77" s="72"/>
    </row>
    <row r="78" spans="1:14" s="52" customFormat="1" x14ac:dyDescent="0.25">
      <c r="A78" s="56"/>
    </row>
    <row r="79" spans="1:14" x14ac:dyDescent="0.25">
      <c r="A79" s="56" t="s">
        <v>78</v>
      </c>
    </row>
    <row r="80" spans="1:14" s="68" customFormat="1" x14ac:dyDescent="0.25">
      <c r="A80" s="79"/>
      <c r="B80" s="80"/>
      <c r="E80" s="78"/>
      <c r="F80" s="78"/>
      <c r="G80" s="78"/>
      <c r="H80" s="78"/>
      <c r="I80" s="86"/>
      <c r="J80" s="86"/>
      <c r="K80" s="78"/>
      <c r="L80" s="78"/>
      <c r="M80" s="78"/>
      <c r="N80" s="78"/>
    </row>
    <row r="81" spans="1:14" s="68" customFormat="1" x14ac:dyDescent="0.25">
      <c r="A81" s="80" t="s">
        <v>6</v>
      </c>
      <c r="B81" s="285" t="s">
        <v>75</v>
      </c>
      <c r="C81" s="86"/>
      <c r="D81" s="86"/>
      <c r="E81" s="86"/>
      <c r="F81" s="86"/>
      <c r="G81" s="78"/>
      <c r="H81" s="78"/>
      <c r="I81" s="86"/>
      <c r="J81" s="86"/>
      <c r="K81" s="78"/>
      <c r="L81" s="78"/>
      <c r="M81" s="78"/>
      <c r="N81" s="78"/>
    </row>
    <row r="83" spans="1:14" s="68" customFormat="1" x14ac:dyDescent="0.25">
      <c r="A83" s="71"/>
      <c r="B83" s="69" t="s">
        <v>29</v>
      </c>
      <c r="C83" s="69" t="s">
        <v>84</v>
      </c>
      <c r="D83" s="79" t="s">
        <v>89</v>
      </c>
      <c r="F83" s="69" t="s">
        <v>29</v>
      </c>
    </row>
    <row r="84" spans="1:14" s="68" customFormat="1" x14ac:dyDescent="0.25">
      <c r="A84" s="70" t="s">
        <v>7</v>
      </c>
      <c r="B84" s="69" t="s">
        <v>26</v>
      </c>
      <c r="C84" s="69" t="s">
        <v>8</v>
      </c>
      <c r="D84" s="79" t="s">
        <v>67</v>
      </c>
      <c r="E84" s="69" t="s">
        <v>19</v>
      </c>
      <c r="F84" s="69" t="s">
        <v>30</v>
      </c>
    </row>
    <row r="85" spans="1:14" s="68" customFormat="1" x14ac:dyDescent="0.25">
      <c r="A85" s="68">
        <v>0</v>
      </c>
      <c r="B85" s="67">
        <f>validationRate90p*syncResourceRatio90p*POWER(1+cpuGrowth,A85)*(historicalSyncTime90pf/365)*secondsPerYear/1000/1000</f>
        <v>777.6</v>
      </c>
      <c r="C85" s="76">
        <f>validationRate90p*syncResourceRatio90p*LN(1+cpuGrowth)*POWER(1+cpuGrowth,A85)*(historicalSyncTime90pf/365)*secondsPerYear/1000/1000</f>
        <v>122.08611507439527</v>
      </c>
      <c r="D85" s="92">
        <f>((B85+C85*assumevalidBlockTime/365)*1000*1000)*avgTrSize/(KBperGB*1000)</f>
        <v>402.72463007855055</v>
      </c>
      <c r="E85" s="72">
        <f>(C85*1000*1000)*(avgTrSize/1000)/KBperGB</f>
        <v>57.990904660337748</v>
      </c>
      <c r="F85" s="74">
        <f>E85*secondsPerBlock*avgTrSize/1000/1000</f>
        <v>16.527407828196257</v>
      </c>
    </row>
    <row r="86" spans="1:14" s="68" customFormat="1" x14ac:dyDescent="0.25">
      <c r="A86" s="68">
        <v>1</v>
      </c>
      <c r="B86" s="262">
        <f>validationRate90p*syncResourceRatio90p*POWER(1+cpuGrowth,A86)*(historicalSyncTime90pf/365)*secondsPerYear/1000/1000</f>
        <v>909.79199999999992</v>
      </c>
      <c r="C86" s="263">
        <f>validationRate90p*syncResourceRatio90p*LN(1+cpuGrowth)*POWER(1+cpuGrowth,A86)*(historicalSyncTime90pf/365)*secondsPerYear/1000/1000</f>
        <v>142.84075463704244</v>
      </c>
      <c r="D86" s="92">
        <f>((B86+C86*assumevalidBlockTime/365)*1000*1000)*avgTrSize/(KBperGB*1000)</f>
        <v>471.187817191904</v>
      </c>
      <c r="E86" s="72">
        <f>(C86*1000*1000)*(avgTrSize/1000)/KBperGB</f>
        <v>67.849358452595155</v>
      </c>
      <c r="F86" s="74">
        <f>E86*secondsPerBlock*avgTrSize/1000/1000</f>
        <v>19.337067158989619</v>
      </c>
    </row>
    <row r="87" spans="1:14" s="68" customFormat="1" x14ac:dyDescent="0.25">
      <c r="A87" s="68">
        <v>2</v>
      </c>
      <c r="B87" s="262">
        <f>validationRate90p*syncResourceRatio90p*POWER(1+cpuGrowth,A87)*(historicalSyncTime90pf/365)*secondsPerYear/1000/1000</f>
        <v>1064.4566399999999</v>
      </c>
      <c r="C87" s="263">
        <f>validationRate90p*syncResourceRatio90p*LN(1+cpuGrowth)*POWER(1+cpuGrowth,A87)*(historicalSyncTime90pf/365)*secondsPerYear/1000/1000</f>
        <v>167.12368292533964</v>
      </c>
      <c r="D87" s="92">
        <f>((B87+C87*assumevalidBlockTime/365)*1000*1000)*avgTrSize/(KBperGB*1000)</f>
        <v>551.2897461145277</v>
      </c>
      <c r="E87" s="72">
        <f>(C87*1000*1000)*(avgTrSize/1000)/KBperGB</f>
        <v>79.38374938953632</v>
      </c>
      <c r="F87" s="74">
        <f>E87*secondsPerBlock*avgTrSize/1000/1000</f>
        <v>22.624368576017847</v>
      </c>
    </row>
    <row r="88" spans="1:14" s="68" customFormat="1" x14ac:dyDescent="0.25">
      <c r="A88" s="68">
        <v>3</v>
      </c>
      <c r="B88" s="262">
        <f>validationRate90p*syncResourceRatio90p*POWER(1+cpuGrowth,A88)*(historicalSyncTime90pf/365)*secondsPerYear/1000/1000</f>
        <v>1245.4142687999997</v>
      </c>
      <c r="C88" s="263">
        <f>validationRate90p*syncResourceRatio90p*LN(1+cpuGrowth)*POWER(1+cpuGrowth,A88)*(historicalSyncTime90pf/365)*secondsPerYear/1000/1000</f>
        <v>195.53470902264738</v>
      </c>
      <c r="D88" s="92">
        <f>((B88+C88*assumevalidBlockTime/365)*1000*1000)*avgTrSize/(KBperGB*1000)</f>
        <v>645.00900295399731</v>
      </c>
      <c r="E88" s="72">
        <f>(C88*1000*1000)*(avgTrSize/1000)/KBperGB</f>
        <v>92.87898678575749</v>
      </c>
      <c r="F88" s="74">
        <f>E88*secondsPerBlock*avgTrSize/1000/1000</f>
        <v>26.470511233940883</v>
      </c>
    </row>
    <row r="89" spans="1:14" s="68" customFormat="1" x14ac:dyDescent="0.25">
      <c r="A89" s="68">
        <v>4</v>
      </c>
      <c r="B89" s="262">
        <f>validationRate90p*syncResourceRatio90p*POWER(1+cpuGrowth,A89)*(historicalSyncTime90pf/365)*secondsPerYear/1000/1000</f>
        <v>1457.1346944959994</v>
      </c>
      <c r="C89" s="263">
        <f>validationRate90p*syncResourceRatio90p*LN(1+cpuGrowth)*POWER(1+cpuGrowth,A89)*(historicalSyncTime90pf/365)*secondsPerYear/1000/1000</f>
        <v>228.77560955649739</v>
      </c>
      <c r="D89" s="92">
        <f>((B89+C89*assumevalidBlockTime/365)*1000*1000)*avgTrSize/(KBperGB*1000)</f>
        <v>754.66053345617672</v>
      </c>
      <c r="E89" s="72">
        <f>(C89*1000*1000)*(avgTrSize/1000)/KBperGB</f>
        <v>108.66841453933627</v>
      </c>
      <c r="F89" s="74">
        <f>E89*secondsPerBlock*avgTrSize/1000/1000</f>
        <v>30.970498143710838</v>
      </c>
    </row>
    <row r="90" spans="1:14" s="68" customFormat="1" x14ac:dyDescent="0.25">
      <c r="A90" s="68">
        <v>5</v>
      </c>
      <c r="B90" s="262">
        <f>validationRate90p*syncResourceRatio90p*POWER(1+cpuGrowth,A90)*(historicalSyncTime90pf/365)*secondsPerYear/1000/1000</f>
        <v>1704.8475925603195</v>
      </c>
      <c r="C90" s="263">
        <f>validationRate90p*syncResourceRatio90p*LN(1+cpuGrowth)*POWER(1+cpuGrowth,A90)*(historicalSyncTime90pf/365)*secondsPerYear/1000/1000</f>
        <v>267.66746318110188</v>
      </c>
      <c r="D90" s="92">
        <f>((B90+C90*assumevalidBlockTime/365)*1000*1000)*avgTrSize/(KBperGB*1000)</f>
        <v>882.95282414372696</v>
      </c>
      <c r="E90" s="72">
        <f>(C90*1000*1000)*(avgTrSize/1000)/KBperGB</f>
        <v>127.14204501102338</v>
      </c>
      <c r="F90" s="74">
        <f>E90*secondsPerBlock*avgTrSize/1000/1000</f>
        <v>36.23548282814167</v>
      </c>
    </row>
    <row r="91" spans="1:14" s="68" customFormat="1" x14ac:dyDescent="0.25">
      <c r="A91" s="68">
        <v>6</v>
      </c>
      <c r="B91" s="262">
        <f>validationRate90p*syncResourceRatio90p*POWER(1+cpuGrowth,A91)*(historicalSyncTime90pf/365)*secondsPerYear/1000/1000</f>
        <v>1994.6716832955735</v>
      </c>
      <c r="C91" s="263">
        <f>validationRate90p*syncResourceRatio90p*LN(1+cpuGrowth)*POWER(1+cpuGrowth,A91)*(historicalSyncTime90pf/365)*secondsPerYear/1000/1000</f>
        <v>313.17093192188923</v>
      </c>
      <c r="D91" s="92">
        <f>((B91+C91*assumevalidBlockTime/365)*1000*1000)*avgTrSize/(KBperGB*1000)</f>
        <v>1033.0548042481605</v>
      </c>
      <c r="E91" s="72">
        <f>(C91*1000*1000)*(avgTrSize/1000)/KBperGB</f>
        <v>148.75619266289738</v>
      </c>
      <c r="F91" s="74">
        <f>E91*secondsPerBlock*avgTrSize/1000/1000</f>
        <v>42.395514908925747</v>
      </c>
    </row>
    <row r="92" spans="1:14" s="68" customFormat="1" x14ac:dyDescent="0.25">
      <c r="A92" s="68">
        <v>7</v>
      </c>
      <c r="B92" s="262">
        <f>validationRate90p*syncResourceRatio90p*POWER(1+cpuGrowth,A92)*(historicalSyncTime90pf/365)*secondsPerYear/1000/1000</f>
        <v>2333.7658694558204</v>
      </c>
      <c r="C92" s="263">
        <f>validationRate90p*syncResourceRatio90p*LN(1+cpuGrowth)*POWER(1+cpuGrowth,A92)*(historicalSyncTime90pf/365)*secondsPerYear/1000/1000</f>
        <v>366.40999034861039</v>
      </c>
      <c r="D92" s="92">
        <f>((B92+C92*assumevalidBlockTime/365)*1000*1000)*avgTrSize/(KBperGB*1000)</f>
        <v>1208.6741209703471</v>
      </c>
      <c r="E92" s="72">
        <f>(C92*1000*1000)*(avgTrSize/1000)/KBperGB</f>
        <v>174.04474541558992</v>
      </c>
      <c r="F92" s="74">
        <f>E92*secondsPerBlock*avgTrSize/1000/1000</f>
        <v>49.602752443443123</v>
      </c>
    </row>
    <row r="93" spans="1:14" s="68" customFormat="1" x14ac:dyDescent="0.25">
      <c r="A93" s="68">
        <v>8</v>
      </c>
      <c r="B93" s="262">
        <f>validationRate90p*syncResourceRatio90p*POWER(1+cpuGrowth,A93)*(historicalSyncTime90pf/365)*secondsPerYear/1000/1000</f>
        <v>2730.5060672633099</v>
      </c>
      <c r="C93" s="263">
        <f>validationRate90p*syncResourceRatio90p*LN(1+cpuGrowth)*POWER(1+cpuGrowth,A93)*(historicalSyncTime90pf/365)*secondsPerYear/1000/1000</f>
        <v>428.69968870787415</v>
      </c>
      <c r="D93" s="92">
        <f>((B93+C93*assumevalidBlockTime/365)*1000*1000)*avgTrSize/(KBperGB*1000)</f>
        <v>1414.1487215353061</v>
      </c>
      <c r="E93" s="72">
        <f>(C93*1000*1000)*(avgTrSize/1000)/KBperGB</f>
        <v>203.6323521362402</v>
      </c>
      <c r="F93" s="74">
        <f>E93*secondsPerBlock*avgTrSize/1000/1000</f>
        <v>58.035220358828454</v>
      </c>
    </row>
    <row r="94" spans="1:14" s="68" customFormat="1" x14ac:dyDescent="0.25">
      <c r="A94" s="68">
        <v>9</v>
      </c>
      <c r="B94" s="262">
        <f>validationRate90p*syncResourceRatio90p*POWER(1+cpuGrowth,A94)*(historicalSyncTime90pf/365)*secondsPerYear/1000/1000</f>
        <v>3194.6920986980726</v>
      </c>
      <c r="C94" s="263">
        <f>validationRate90p*syncResourceRatio90p*LN(1+cpuGrowth)*POWER(1+cpuGrowth,A94)*(historicalSyncTime90pf/365)*secondsPerYear/1000/1000</f>
        <v>501.57863578821264</v>
      </c>
      <c r="D94" s="92">
        <f>((B94+C94*assumevalidBlockTime/365)*1000*1000)*avgTrSize/(KBperGB*1000)</f>
        <v>1654.5540041963084</v>
      </c>
      <c r="E94" s="72">
        <f>(C94*1000*1000)*(avgTrSize/1000)/KBperGB</f>
        <v>238.24985199940102</v>
      </c>
      <c r="F94" s="74">
        <f>E94*secondsPerBlock*avgTrSize/1000/1000</f>
        <v>67.901207819829281</v>
      </c>
    </row>
    <row r="95" spans="1:14" s="68" customFormat="1" x14ac:dyDescent="0.25">
      <c r="A95" s="68">
        <v>10</v>
      </c>
      <c r="B95" s="262">
        <f>validationRate90p*syncResourceRatio90p*POWER(1+cpuGrowth,A95)*(historicalSyncTime90pf/365)*secondsPerYear/1000/1000</f>
        <v>3737.7897554767446</v>
      </c>
      <c r="C95" s="263">
        <f>validationRate90p*syncResourceRatio90p*LN(1+cpuGrowth)*POWER(1+cpuGrowth,A95)*(historicalSyncTime90pf/365)*secondsPerYear/1000/1000</f>
        <v>586.84700387220892</v>
      </c>
      <c r="D95" s="92">
        <f>((B95+C95*assumevalidBlockTime/365)*1000*1000)*avgTrSize/(KBperGB*1000)</f>
        <v>1935.8281849096807</v>
      </c>
      <c r="E95" s="72">
        <f>(C95*1000*1000)*(avgTrSize/1000)/KBperGB</f>
        <v>278.7523268392992</v>
      </c>
      <c r="F95" s="74">
        <f>E95*secondsPerBlock*avgTrSize/1000/1000</f>
        <v>79.444413149200273</v>
      </c>
    </row>
    <row r="96" spans="1:14" s="68" customFormat="1" x14ac:dyDescent="0.25">
      <c r="A96" s="68">
        <v>11</v>
      </c>
      <c r="B96" s="262">
        <f>validationRate90p*syncResourceRatio90p*POWER(1+cpuGrowth,A96)*(historicalSyncTime90pf/365)*secondsPerYear/1000/1000</f>
        <v>4373.214013907791</v>
      </c>
      <c r="C96" s="263">
        <f>validationRate90p*syncResourceRatio90p*LN(1+cpuGrowth)*POWER(1+cpuGrowth,A96)*(historicalSyncTime90pf/365)*secondsPerYear/1000/1000</f>
        <v>686.61099453048428</v>
      </c>
      <c r="D96" s="92">
        <f>((B96+C96*assumevalidBlockTime/365)*1000*1000)*avgTrSize/(KBperGB*1000)</f>
        <v>2264.918976344326</v>
      </c>
      <c r="E96" s="72">
        <f>(C96*1000*1000)*(avgTrSize/1000)/KBperGB</f>
        <v>326.14022240198005</v>
      </c>
      <c r="F96" s="74">
        <f>E96*secondsPerBlock*avgTrSize/1000/1000</f>
        <v>92.949963384564313</v>
      </c>
    </row>
    <row r="97" spans="1:9" s="68" customFormat="1" x14ac:dyDescent="0.25">
      <c r="A97" s="68">
        <v>12</v>
      </c>
      <c r="B97" s="262">
        <f>validationRate90p*syncResourceRatio90p*POWER(1+cpuGrowth,A97)*(historicalSyncTime90pf/365)*secondsPerYear/1000/1000</f>
        <v>5116.6603962721147</v>
      </c>
      <c r="C97" s="263">
        <f>validationRate90p*syncResourceRatio90p*LN(1+cpuGrowth)*POWER(1+cpuGrowth,A97)*(historicalSyncTime90pf/365)*secondsPerYear/1000/1000</f>
        <v>803.33486360066649</v>
      </c>
      <c r="D97" s="92">
        <f>((B97+C97*assumevalidBlockTime/365)*1000*1000)*avgTrSize/(KBperGB*1000)</f>
        <v>2649.9552023228607</v>
      </c>
      <c r="E97" s="72">
        <f>(C97*1000*1000)*(avgTrSize/1000)/KBperGB</f>
        <v>381.58406021031658</v>
      </c>
      <c r="F97" s="74">
        <f>E97*secondsPerBlock*avgTrSize/1000/1000</f>
        <v>108.75145715994023</v>
      </c>
    </row>
    <row r="98" spans="1:9" s="68" customFormat="1" x14ac:dyDescent="0.25">
      <c r="A98" s="68">
        <v>13</v>
      </c>
      <c r="B98" s="262">
        <f>validationRate90p*syncResourceRatio90p*POWER(1+cpuGrowth,A98)*(historicalSyncTime90pf/365)*secondsPerYear/1000/1000</f>
        <v>5986.4926636383734</v>
      </c>
      <c r="C98" s="263">
        <f>validationRate90p*syncResourceRatio90p*LN(1+cpuGrowth)*POWER(1+cpuGrowth,A98)*(historicalSyncTime90pf/365)*secondsPerYear/1000/1000</f>
        <v>939.90179041277975</v>
      </c>
      <c r="D98" s="92">
        <f>((B98+C98*assumevalidBlockTime/365)*1000*1000)*avgTrSize/(KBperGB*1000)</f>
        <v>3100.447586717748</v>
      </c>
      <c r="E98" s="72">
        <f>(C98*1000*1000)*(avgTrSize/1000)/KBperGB</f>
        <v>446.45335044607037</v>
      </c>
      <c r="F98" s="74">
        <f>E98*secondsPerBlock*avgTrSize/1000/1000</f>
        <v>127.23920487713005</v>
      </c>
    </row>
    <row r="99" spans="1:9" s="68" customFormat="1" x14ac:dyDescent="0.25">
      <c r="A99" s="68">
        <v>14</v>
      </c>
      <c r="B99" s="262">
        <f>validationRate90p*syncResourceRatio90p*POWER(1+cpuGrowth,A99)*(historicalSyncTime90pf/365)*secondsPerYear/1000/1000</f>
        <v>7004.1964164568981</v>
      </c>
      <c r="C99" s="263">
        <f>validationRate90p*syncResourceRatio90p*LN(1+cpuGrowth)*POWER(1+cpuGrowth,A99)*(historicalSyncTime90pf/365)*secondsPerYear/1000/1000</f>
        <v>1099.6850947829523</v>
      </c>
      <c r="D99" s="92">
        <f>((B99+C99*assumevalidBlockTime/365)*1000*1000)*avgTrSize/(KBperGB*1000)</f>
        <v>3627.5236764597653</v>
      </c>
      <c r="E99" s="72">
        <f>(C99*1000*1000)*(avgTrSize/1000)/KBperGB</f>
        <v>522.35042002190232</v>
      </c>
      <c r="F99" s="74">
        <f>E99*secondsPerBlock*avgTrSize/1000/1000</f>
        <v>148.86986970624218</v>
      </c>
    </row>
    <row r="100" spans="1:9" s="68" customFormat="1" x14ac:dyDescent="0.25">
      <c r="A100" s="68">
        <v>15</v>
      </c>
      <c r="B100" s="262">
        <f>validationRate90p*syncResourceRatio90p*POWER(1+cpuGrowth,A100)*(historicalSyncTime90pf/365)*secondsPerYear/1000/1000</f>
        <v>8194.9098072545694</v>
      </c>
      <c r="C100" s="263">
        <f>validationRate90p*syncResourceRatio90p*LN(1+cpuGrowth)*POWER(1+cpuGrowth,A100)*(historicalSyncTime90pf/365)*secondsPerYear/1000/1000</f>
        <v>1286.6315608960542</v>
      </c>
      <c r="D100" s="92">
        <f>((B100+C100*assumevalidBlockTime/365)*1000*1000)*avgTrSize/(KBperGB*1000)</f>
        <v>4244.2027014579235</v>
      </c>
      <c r="E100" s="72">
        <f>(C100*1000*1000)*(avgTrSize/1000)/KBperGB</f>
        <v>611.14999142562567</v>
      </c>
      <c r="F100" s="74">
        <f>E100*secondsPerBlock*avgTrSize/1000/1000</f>
        <v>174.17774755630327</v>
      </c>
    </row>
    <row r="102" spans="1:9" x14ac:dyDescent="0.25">
      <c r="A102" s="83" t="s">
        <v>85</v>
      </c>
      <c r="B102" s="78"/>
      <c r="C102" s="78"/>
    </row>
    <row r="103" spans="1:9" s="78" customFormat="1" x14ac:dyDescent="0.25">
      <c r="A103" s="83"/>
      <c r="D103" s="79"/>
      <c r="E103" s="79"/>
      <c r="F103" s="79" t="s">
        <v>29</v>
      </c>
      <c r="G103" s="79" t="s">
        <v>29</v>
      </c>
      <c r="H103" s="79" t="s">
        <v>29</v>
      </c>
    </row>
    <row r="104" spans="1:9" s="78" customFormat="1" x14ac:dyDescent="0.25">
      <c r="A104" s="83"/>
      <c r="D104" s="79" t="s">
        <v>64</v>
      </c>
      <c r="E104" s="79" t="s">
        <v>65</v>
      </c>
      <c r="F104" s="79" t="s">
        <v>30</v>
      </c>
      <c r="G104" s="79" t="s">
        <v>87</v>
      </c>
      <c r="H104" s="79" t="s">
        <v>33</v>
      </c>
    </row>
    <row r="105" spans="1:9" s="78" customFormat="1" x14ac:dyDescent="0.25">
      <c r="A105" s="234" t="s">
        <v>5</v>
      </c>
      <c r="B105" s="234"/>
      <c r="C105" s="234"/>
      <c r="D105" s="89" t="s">
        <v>75</v>
      </c>
      <c r="E105" s="90">
        <f>'Current Bitcoin'!F395</f>
        <v>0.11019325799953077</v>
      </c>
      <c r="F105" s="243">
        <f>'Current Bitcoin'!G395/1000</f>
        <v>3.1405078529866265E-2</v>
      </c>
      <c r="G105" s="93">
        <f>'Current Bitcoin'!H395</f>
        <v>7.397260273972603</v>
      </c>
      <c r="H105" s="94"/>
    </row>
    <row r="106" spans="1:9" s="78" customFormat="1" ht="15.75" x14ac:dyDescent="0.25">
      <c r="A106" s="231" t="s">
        <v>86</v>
      </c>
      <c r="B106" s="231"/>
      <c r="C106" s="231"/>
      <c r="D106" s="77" t="s">
        <v>75</v>
      </c>
      <c r="E106" s="87">
        <f>F16</f>
        <v>0.51021770560343027</v>
      </c>
      <c r="F106" s="286">
        <f>E16</f>
        <v>0.14541204609697764</v>
      </c>
      <c r="G106" s="95" t="s">
        <v>4</v>
      </c>
      <c r="H106" s="94"/>
    </row>
    <row r="107" spans="1:9" s="78" customFormat="1" x14ac:dyDescent="0.25">
      <c r="A107" s="234" t="s">
        <v>66</v>
      </c>
      <c r="B107" s="234"/>
      <c r="C107" s="234"/>
      <c r="D107" s="89" t="s">
        <v>75</v>
      </c>
      <c r="E107" s="90">
        <f>'Current Bitcoin'!F397</f>
        <v>4.0999999999999996</v>
      </c>
      <c r="F107" s="243">
        <f>'Current Bitcoin'!G397/1000</f>
        <v>1.1685000000000001</v>
      </c>
      <c r="G107" s="93">
        <f>'Current Bitcoin'!H397</f>
        <v>5367.5</v>
      </c>
      <c r="H107" s="94"/>
      <c r="I107" s="244" t="s">
        <v>257</v>
      </c>
    </row>
    <row r="108" spans="1:9" s="78" customFormat="1" x14ac:dyDescent="0.25">
      <c r="A108" s="231" t="s">
        <v>92</v>
      </c>
      <c r="B108" s="231"/>
      <c r="C108" s="231"/>
      <c r="D108" s="77" t="s">
        <v>75</v>
      </c>
      <c r="E108" s="87">
        <f>F39</f>
        <v>4.2327624277432179</v>
      </c>
      <c r="F108" s="286">
        <f>E39</f>
        <v>1.2063372919068172</v>
      </c>
      <c r="G108" s="92">
        <f>D39</f>
        <v>71.54528441756365</v>
      </c>
      <c r="H108" s="94"/>
    </row>
    <row r="109" spans="1:9" s="78" customFormat="1" ht="15.75" x14ac:dyDescent="0.25">
      <c r="A109" s="231" t="s">
        <v>91</v>
      </c>
      <c r="B109" s="231"/>
      <c r="C109" s="231"/>
      <c r="D109" s="77" t="s">
        <v>75</v>
      </c>
      <c r="E109" s="87">
        <f>C62</f>
        <v>5</v>
      </c>
      <c r="F109" s="286">
        <f>D62</f>
        <v>1.425</v>
      </c>
      <c r="G109" s="95" t="s">
        <v>4</v>
      </c>
      <c r="H109" s="94"/>
    </row>
    <row r="110" spans="1:9" s="78" customFormat="1" x14ac:dyDescent="0.25">
      <c r="A110" s="231" t="s">
        <v>90</v>
      </c>
      <c r="B110" s="231"/>
      <c r="C110" s="231"/>
      <c r="D110" s="77" t="s">
        <v>75</v>
      </c>
      <c r="E110" s="87">
        <f>E85</f>
        <v>57.990904660337748</v>
      </c>
      <c r="F110" s="286">
        <f>F85</f>
        <v>16.527407828196257</v>
      </c>
      <c r="G110" s="92">
        <f>D85</f>
        <v>402.72463007855055</v>
      </c>
      <c r="H110" s="94"/>
    </row>
    <row r="112" spans="1:9" x14ac:dyDescent="0.25">
      <c r="A112" s="83"/>
      <c r="B112" s="78"/>
      <c r="C112" s="78"/>
      <c r="D112" s="225"/>
      <c r="E112" s="225"/>
      <c r="F112" s="225" t="s">
        <v>29</v>
      </c>
      <c r="G112" s="225" t="s">
        <v>29</v>
      </c>
      <c r="H112" s="225" t="s">
        <v>29</v>
      </c>
    </row>
    <row r="113" spans="1:8" x14ac:dyDescent="0.25">
      <c r="A113" s="83"/>
      <c r="B113" s="78"/>
      <c r="C113" s="78"/>
      <c r="D113" s="225" t="s">
        <v>64</v>
      </c>
      <c r="E113" s="225" t="s">
        <v>65</v>
      </c>
      <c r="F113" s="225" t="s">
        <v>30</v>
      </c>
      <c r="G113" s="225" t="s">
        <v>87</v>
      </c>
      <c r="H113" s="225" t="s">
        <v>33</v>
      </c>
    </row>
    <row r="114" spans="1:8" x14ac:dyDescent="0.25">
      <c r="A114" s="234" t="s">
        <v>5</v>
      </c>
      <c r="B114" s="234"/>
      <c r="C114" s="234"/>
      <c r="D114" s="89" t="s">
        <v>75</v>
      </c>
      <c r="E114" s="287" t="s">
        <v>258</v>
      </c>
      <c r="F114" s="288" t="s">
        <v>270</v>
      </c>
      <c r="G114" s="277" t="s">
        <v>260</v>
      </c>
      <c r="H114" s="94"/>
    </row>
    <row r="115" spans="1:8" ht="15.75" x14ac:dyDescent="0.25">
      <c r="A115" s="231" t="s">
        <v>86</v>
      </c>
      <c r="B115" s="231"/>
      <c r="C115" s="231"/>
      <c r="D115" s="77" t="s">
        <v>75</v>
      </c>
      <c r="E115" s="276" t="s">
        <v>269</v>
      </c>
      <c r="F115" s="282" t="s">
        <v>271</v>
      </c>
      <c r="G115" s="95" t="s">
        <v>4</v>
      </c>
      <c r="H115" s="94"/>
    </row>
    <row r="116" spans="1:8" x14ac:dyDescent="0.25">
      <c r="A116" s="234" t="s">
        <v>66</v>
      </c>
      <c r="B116" s="234"/>
      <c r="C116" s="234"/>
      <c r="D116" s="89" t="s">
        <v>75</v>
      </c>
      <c r="E116" s="287" t="s">
        <v>264</v>
      </c>
      <c r="F116" s="288" t="s">
        <v>272</v>
      </c>
      <c r="G116" s="277" t="s">
        <v>276</v>
      </c>
      <c r="H116" s="94"/>
    </row>
    <row r="117" spans="1:8" x14ac:dyDescent="0.25">
      <c r="A117" s="231" t="s">
        <v>92</v>
      </c>
      <c r="B117" s="231"/>
      <c r="C117" s="231"/>
      <c r="D117" s="77" t="s">
        <v>75</v>
      </c>
      <c r="E117" s="276" t="s">
        <v>279</v>
      </c>
      <c r="F117" s="282" t="s">
        <v>273</v>
      </c>
      <c r="G117" s="283" t="s">
        <v>277</v>
      </c>
      <c r="H117" s="94"/>
    </row>
    <row r="118" spans="1:8" ht="15.75" x14ac:dyDescent="0.25">
      <c r="A118" s="231" t="s">
        <v>91</v>
      </c>
      <c r="B118" s="231"/>
      <c r="C118" s="231"/>
      <c r="D118" s="77" t="s">
        <v>75</v>
      </c>
      <c r="E118" s="195" t="str">
        <f>"5 - 50"</f>
        <v>5 - 50</v>
      </c>
      <c r="F118" s="228" t="s">
        <v>274</v>
      </c>
      <c r="G118" s="95" t="s">
        <v>4</v>
      </c>
      <c r="H118" s="94"/>
    </row>
    <row r="119" spans="1:8" x14ac:dyDescent="0.25">
      <c r="A119" s="231" t="s">
        <v>90</v>
      </c>
      <c r="B119" s="231"/>
      <c r="C119" s="231"/>
      <c r="D119" s="77" t="s">
        <v>75</v>
      </c>
      <c r="E119" s="275" t="s">
        <v>280</v>
      </c>
      <c r="F119" s="306" t="s">
        <v>275</v>
      </c>
      <c r="G119" s="307" t="s">
        <v>278</v>
      </c>
      <c r="H119" s="94"/>
    </row>
  </sheetData>
  <mergeCells count="12">
    <mergeCell ref="A114:C114"/>
    <mergeCell ref="A117:C117"/>
    <mergeCell ref="A116:C116"/>
    <mergeCell ref="A118:C118"/>
    <mergeCell ref="A115:C115"/>
    <mergeCell ref="A119:C119"/>
    <mergeCell ref="A105:C105"/>
    <mergeCell ref="A106:C106"/>
    <mergeCell ref="A107:C107"/>
    <mergeCell ref="A108:C108"/>
    <mergeCell ref="A109:C109"/>
    <mergeCell ref="A110:C110"/>
  </mergeCells>
  <conditionalFormatting sqref="F105:F110 F114:F119">
    <cfRule type="cellIs" dxfId="12" priority="7" operator="lessThan">
      <formula>curMaxBlocksize/1000</formula>
    </cfRule>
  </conditionalFormatting>
  <conditionalFormatting sqref="E105:E110 E115:E119">
    <cfRule type="cellIs" dxfId="11" priority="5" operator="lessThan">
      <formula>curMaxBlocksize*1000/avgTrSize/secondsPerBlock</formula>
    </cfRule>
  </conditionalFormatting>
  <conditionalFormatting sqref="E114">
    <cfRule type="cellIs" dxfId="10" priority="1" operator="lessThan">
      <formula>curMaxBlocksize*1000/avgTrSize/secondsPerBlock</formula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lessThan" id="{C6D417E7-ACD0-4B04-9672-1EED97161616}">
            <xm:f>'Current Bitcoin'!$B$30</xm:f>
            <x14:dxf>
              <fill>
                <patternFill>
                  <bgColor rgb="FFFFC7CE"/>
                </patternFill>
              </fill>
            </x14:dxf>
          </x14:cfRule>
          <xm:sqref>G110 G105 G107:G108 G114 G116:G117</xm:sqref>
        </x14:conditionalFormatting>
        <x14:conditionalFormatting xmlns:xm="http://schemas.microsoft.com/office/excel/2006/main">
          <x14:cfRule type="cellIs" priority="3" operator="lessThan" id="{466D4C6E-3586-4DF5-91AA-EF40B2E1BE4E}">
            <xm:f>'Current Bitcoin'!$B$30</xm:f>
            <x14:dxf>
              <fill>
                <patternFill>
                  <bgColor rgb="FFFFC7CE"/>
                </patternFill>
              </fill>
            </x14:dxf>
          </x14:cfRule>
          <xm:sqref>G119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O291"/>
  <sheetViews>
    <sheetView topLeftCell="A13" zoomScaleNormal="100" workbookViewId="0">
      <pane ySplit="2400" topLeftCell="A225" activePane="bottomLeft"/>
      <selection activeCell="K18" sqref="K18"/>
      <selection pane="bottomLeft" activeCell="G257" sqref="G257"/>
    </sheetView>
  </sheetViews>
  <sheetFormatPr defaultRowHeight="15" x14ac:dyDescent="0.25"/>
  <cols>
    <col min="1" max="1" width="12.42578125" customWidth="1"/>
    <col min="2" max="2" width="15.5703125" customWidth="1"/>
    <col min="3" max="3" width="13.7109375" customWidth="1"/>
    <col min="4" max="4" width="14.140625" customWidth="1"/>
    <col min="5" max="5" width="14.28515625" customWidth="1"/>
    <col min="6" max="6" width="15" customWidth="1"/>
    <col min="7" max="7" width="15.42578125" customWidth="1"/>
    <col min="8" max="8" width="17" customWidth="1"/>
    <col min="9" max="9" width="12" bestFit="1" customWidth="1"/>
    <col min="10" max="10" width="11.85546875" bestFit="1" customWidth="1"/>
    <col min="11" max="11" width="9.85546875" customWidth="1"/>
  </cols>
  <sheetData>
    <row r="1" spans="1:15" s="78" customFormat="1" x14ac:dyDescent="0.25">
      <c r="A1" s="83" t="s">
        <v>205</v>
      </c>
    </row>
    <row r="2" spans="1:15" s="78" customFormat="1" x14ac:dyDescent="0.25"/>
    <row r="3" spans="1:15" s="78" customFormat="1" x14ac:dyDescent="0.25">
      <c r="A3" s="180" t="s">
        <v>0</v>
      </c>
      <c r="C3" s="180" t="s">
        <v>195</v>
      </c>
      <c r="D3" s="180" t="s">
        <v>198</v>
      </c>
      <c r="E3" s="229" t="s">
        <v>252</v>
      </c>
      <c r="J3" s="180" t="s">
        <v>71</v>
      </c>
      <c r="K3" s="180" t="s">
        <v>70</v>
      </c>
      <c r="L3" s="180" t="s">
        <v>80</v>
      </c>
      <c r="M3" s="83" t="s">
        <v>79</v>
      </c>
      <c r="N3" s="180" t="s">
        <v>14</v>
      </c>
      <c r="O3" s="180" t="s">
        <v>36</v>
      </c>
    </row>
    <row r="4" spans="1:15" s="78" customFormat="1" x14ac:dyDescent="0.25">
      <c r="A4" s="180" t="s">
        <v>73</v>
      </c>
      <c r="B4" s="180" t="s">
        <v>1</v>
      </c>
      <c r="C4" s="180" t="s">
        <v>193</v>
      </c>
      <c r="D4" s="180" t="s">
        <v>1</v>
      </c>
      <c r="E4" s="229" t="s">
        <v>1</v>
      </c>
      <c r="F4" s="180" t="s">
        <v>2</v>
      </c>
      <c r="G4" s="180" t="s">
        <v>3</v>
      </c>
      <c r="H4" s="180" t="s">
        <v>10</v>
      </c>
      <c r="I4" s="180" t="s">
        <v>122</v>
      </c>
      <c r="J4" s="180" t="s">
        <v>54</v>
      </c>
      <c r="K4" s="180" t="s">
        <v>54</v>
      </c>
      <c r="L4" s="180" t="s">
        <v>14</v>
      </c>
      <c r="M4" s="180" t="s">
        <v>14</v>
      </c>
      <c r="N4" s="180" t="s">
        <v>15</v>
      </c>
      <c r="O4" s="180" t="s">
        <v>15</v>
      </c>
    </row>
    <row r="5" spans="1:15" s="78" customFormat="1" x14ac:dyDescent="0.25">
      <c r="A5" s="80" t="s">
        <v>223</v>
      </c>
      <c r="B5" s="204">
        <v>1000</v>
      </c>
      <c r="C5" s="188">
        <v>9999999</v>
      </c>
      <c r="D5" s="186">
        <f>MIN(B5,(C5/mbToGB)/(secondsPerYear/12))</f>
        <v>1000</v>
      </c>
      <c r="E5" s="186">
        <f>MIN(B5,(C5/mbToGB)*(30/L5)/(secondsPerYear/12))</f>
        <v>1000</v>
      </c>
      <c r="F5" s="59">
        <v>1000</v>
      </c>
      <c r="G5" s="59">
        <v>8</v>
      </c>
      <c r="H5" s="60">
        <v>20000</v>
      </c>
      <c r="I5" s="114">
        <v>90</v>
      </c>
      <c r="J5" s="85">
        <v>14</v>
      </c>
      <c r="K5" s="66">
        <f>($J$18*0.9+$J$17*0.09+$J$16*0.01)/publicNodePercent</f>
        <v>140</v>
      </c>
      <c r="L5" s="61">
        <v>7</v>
      </c>
      <c r="M5" s="61">
        <v>60</v>
      </c>
      <c r="N5" s="84">
        <v>0.75</v>
      </c>
      <c r="O5" s="84">
        <v>0.1</v>
      </c>
    </row>
    <row r="6" spans="1:15" s="78" customFormat="1" x14ac:dyDescent="0.25">
      <c r="A6" s="80" t="s">
        <v>206</v>
      </c>
      <c r="B6" s="204">
        <v>15</v>
      </c>
      <c r="C6" s="59">
        <v>1000</v>
      </c>
      <c r="D6" s="186">
        <f>MIN(B6,(C6/mbToGB)/(secondsPerYear/12))</f>
        <v>3.0441400304414001</v>
      </c>
      <c r="E6" s="186">
        <f>MIN(B6,(C6/mbToGB)*(30/L6)/(secondsPerYear/12))</f>
        <v>13.046314416177429</v>
      </c>
      <c r="F6" s="59">
        <v>128</v>
      </c>
      <c r="G6" s="59">
        <v>4</v>
      </c>
      <c r="H6" s="60">
        <v>1000</v>
      </c>
      <c r="I6" s="114">
        <v>130</v>
      </c>
      <c r="J6" s="85">
        <v>14</v>
      </c>
      <c r="K6" s="65">
        <f>($J$18*0.9+$J$17*0.09+$J$16*0.01)/publicNodePercent</f>
        <v>140</v>
      </c>
      <c r="L6" s="61">
        <v>7</v>
      </c>
      <c r="M6" s="61">
        <v>60</v>
      </c>
      <c r="N6" s="84">
        <f>'Current Bitcoin'!$M$14</f>
        <v>0.5</v>
      </c>
      <c r="O6" s="84">
        <v>0.1</v>
      </c>
    </row>
    <row r="7" spans="1:15" s="78" customFormat="1" x14ac:dyDescent="0.25">
      <c r="A7" s="80" t="s">
        <v>207</v>
      </c>
      <c r="B7" s="204">
        <v>0.5</v>
      </c>
      <c r="C7" s="59">
        <v>2</v>
      </c>
      <c r="D7" s="186">
        <f>MIN(B7,(C7/mbToGB)/(secondsPerYear/12))</f>
        <v>6.0882800608828003E-3</v>
      </c>
      <c r="E7" s="186">
        <f>MIN(B7,(C7/mbToGB)*(30/L7)/(secondsPerYear/12))</f>
        <v>2.6092628832354858E-2</v>
      </c>
      <c r="F7" s="59">
        <v>32</v>
      </c>
      <c r="G7" s="59">
        <v>1</v>
      </c>
      <c r="H7" s="60">
        <v>100</v>
      </c>
      <c r="I7" s="114">
        <v>250</v>
      </c>
      <c r="J7" s="85">
        <v>14</v>
      </c>
      <c r="K7" s="85">
        <v>0</v>
      </c>
      <c r="L7" s="61">
        <v>7</v>
      </c>
      <c r="M7" s="61">
        <v>60</v>
      </c>
      <c r="N7" s="84">
        <v>0.75</v>
      </c>
      <c r="O7" s="84">
        <v>0.1</v>
      </c>
    </row>
    <row r="8" spans="1:15" s="78" customFormat="1" x14ac:dyDescent="0.25">
      <c r="A8" s="80" t="s">
        <v>224</v>
      </c>
      <c r="B8" s="204">
        <v>1000</v>
      </c>
      <c r="C8" s="188">
        <v>9999999</v>
      </c>
      <c r="D8" s="186">
        <f>MIN(B8,(C8/mbToGB)/(secondsPerYear/12))</f>
        <v>1000</v>
      </c>
      <c r="E8" s="186">
        <f>MIN(B8,(C8/mbToGB)*(30/L8)/(secondsPerYear/12))</f>
        <v>1000</v>
      </c>
      <c r="F8" s="59">
        <v>4000</v>
      </c>
      <c r="G8" s="59">
        <v>32</v>
      </c>
      <c r="H8" s="60">
        <v>100000</v>
      </c>
      <c r="I8" s="114">
        <v>90</v>
      </c>
      <c r="J8" s="85">
        <v>14</v>
      </c>
      <c r="K8" s="66">
        <f>($J$18*0.9+$J$17*0.09+$J$16*0.01)/publicNodePercent</f>
        <v>140</v>
      </c>
      <c r="L8" s="61">
        <v>7</v>
      </c>
      <c r="M8" s="61">
        <v>60</v>
      </c>
      <c r="N8" s="84">
        <v>0.75</v>
      </c>
      <c r="O8" s="84">
        <v>0.1</v>
      </c>
    </row>
    <row r="9" spans="1:15" s="78" customFormat="1" x14ac:dyDescent="0.25">
      <c r="A9" s="80" t="s">
        <v>208</v>
      </c>
      <c r="B9" s="204">
        <v>30</v>
      </c>
      <c r="C9" s="188">
        <v>9999999</v>
      </c>
      <c r="D9" s="186">
        <f>MIN(B9,(C9/mbToGB)/(secondsPerYear/12))</f>
        <v>30</v>
      </c>
      <c r="E9" s="186">
        <f>MIN(B9,(C9/mbToGB)*(30/L9)/(secondsPerYear/12))</f>
        <v>30</v>
      </c>
      <c r="F9" s="59">
        <v>1000</v>
      </c>
      <c r="G9" s="59">
        <v>8</v>
      </c>
      <c r="H9" s="60">
        <v>10000</v>
      </c>
      <c r="I9" s="114">
        <v>130</v>
      </c>
      <c r="J9" s="85">
        <v>14</v>
      </c>
      <c r="K9" s="65">
        <f>($J$18*0.9+$J$17*0.09+$J$16*0.01)/publicNodePercent</f>
        <v>140</v>
      </c>
      <c r="L9" s="61">
        <v>7</v>
      </c>
      <c r="M9" s="61">
        <v>60</v>
      </c>
      <c r="N9" s="84">
        <f>'Current Bitcoin'!$M$14</f>
        <v>0.5</v>
      </c>
      <c r="O9" s="84">
        <v>0.1</v>
      </c>
    </row>
    <row r="10" spans="1:15" s="78" customFormat="1" x14ac:dyDescent="0.25">
      <c r="A10" s="80" t="s">
        <v>209</v>
      </c>
      <c r="B10" s="204">
        <v>1</v>
      </c>
      <c r="C10" s="59">
        <v>10</v>
      </c>
      <c r="D10" s="186">
        <f>MIN(B10,(C10/mbToGB)/(secondsPerYear/12))</f>
        <v>3.0441400304414001E-2</v>
      </c>
      <c r="E10" s="186">
        <f>MIN(B10,(C10/mbToGB)*(30/L10)/(secondsPerYear/12))</f>
        <v>0.13046314416177429</v>
      </c>
      <c r="F10" s="59">
        <v>128</v>
      </c>
      <c r="G10" s="59">
        <v>4</v>
      </c>
      <c r="H10" s="60">
        <v>1000</v>
      </c>
      <c r="I10" s="114">
        <v>250</v>
      </c>
      <c r="J10" s="85">
        <v>14</v>
      </c>
      <c r="K10" s="85">
        <v>0</v>
      </c>
      <c r="L10" s="61">
        <v>7</v>
      </c>
      <c r="M10" s="61">
        <v>60</v>
      </c>
      <c r="N10" s="84">
        <v>0.75</v>
      </c>
      <c r="O10" s="84">
        <v>0.1</v>
      </c>
    </row>
    <row r="11" spans="1:15" s="78" customFormat="1" x14ac:dyDescent="0.25"/>
    <row r="12" spans="1:15" s="78" customFormat="1" x14ac:dyDescent="0.25">
      <c r="A12" s="83" t="s">
        <v>204</v>
      </c>
    </row>
    <row r="13" spans="1:15" s="78" customFormat="1" x14ac:dyDescent="0.25"/>
    <row r="14" spans="1:15" s="52" customFormat="1" x14ac:dyDescent="0.25">
      <c r="A14" s="53" t="s">
        <v>0</v>
      </c>
      <c r="C14" s="175" t="s">
        <v>195</v>
      </c>
      <c r="D14" s="175" t="s">
        <v>198</v>
      </c>
      <c r="E14" s="229" t="s">
        <v>252</v>
      </c>
      <c r="J14" s="53" t="s">
        <v>71</v>
      </c>
      <c r="K14" s="53" t="s">
        <v>70</v>
      </c>
      <c r="L14" s="53" t="s">
        <v>80</v>
      </c>
      <c r="M14" s="56" t="s">
        <v>79</v>
      </c>
      <c r="N14" s="53" t="s">
        <v>14</v>
      </c>
      <c r="O14" s="53" t="s">
        <v>36</v>
      </c>
    </row>
    <row r="15" spans="1:15" s="52" customFormat="1" x14ac:dyDescent="0.25">
      <c r="A15" s="53" t="s">
        <v>73</v>
      </c>
      <c r="B15" s="53" t="s">
        <v>1</v>
      </c>
      <c r="C15" s="175" t="s">
        <v>193</v>
      </c>
      <c r="D15" s="175" t="s">
        <v>1</v>
      </c>
      <c r="E15" s="229" t="s">
        <v>1</v>
      </c>
      <c r="F15" s="53" t="s">
        <v>2</v>
      </c>
      <c r="G15" s="53" t="s">
        <v>3</v>
      </c>
      <c r="H15" s="53" t="s">
        <v>10</v>
      </c>
      <c r="I15" s="142" t="s">
        <v>122</v>
      </c>
      <c r="J15" s="53" t="s">
        <v>54</v>
      </c>
      <c r="K15" s="53" t="s">
        <v>54</v>
      </c>
      <c r="L15" s="53" t="s">
        <v>14</v>
      </c>
      <c r="M15" s="53" t="s">
        <v>14</v>
      </c>
      <c r="N15" s="53" t="s">
        <v>15</v>
      </c>
      <c r="O15" s="53" t="s">
        <v>15</v>
      </c>
    </row>
    <row r="16" spans="1:15" s="244" customFormat="1" x14ac:dyDescent="0.25">
      <c r="A16" s="246" t="s">
        <v>223</v>
      </c>
      <c r="B16" s="278">
        <v>1000</v>
      </c>
      <c r="C16" s="274">
        <v>9999999</v>
      </c>
      <c r="D16" s="273">
        <f>MIN(B16,(C16/mbToGB)/(secondsPerYear/12))</f>
        <v>1000</v>
      </c>
      <c r="E16" s="273">
        <f>MIN(B16,(C16/mbToGB)*(30/L16)/(secondsPerYear/12))</f>
        <v>1000</v>
      </c>
      <c r="F16" s="257">
        <v>1000</v>
      </c>
      <c r="G16" s="257">
        <v>8</v>
      </c>
      <c r="H16" s="258">
        <v>20000</v>
      </c>
      <c r="I16" s="264">
        <v>90</v>
      </c>
      <c r="J16" s="249">
        <v>14</v>
      </c>
      <c r="K16" s="261">
        <f>($J$18*0.9+$J$17*0.09+$J$16*0.01)/publicNodePercent</f>
        <v>140</v>
      </c>
      <c r="L16" s="259">
        <v>7</v>
      </c>
      <c r="M16" s="259">
        <v>60</v>
      </c>
      <c r="N16" s="248">
        <v>0.75</v>
      </c>
      <c r="O16" s="248">
        <v>0.1</v>
      </c>
    </row>
    <row r="17" spans="1:15" s="244" customFormat="1" x14ac:dyDescent="0.25">
      <c r="A17" s="246" t="s">
        <v>206</v>
      </c>
      <c r="B17" s="278">
        <v>15</v>
      </c>
      <c r="C17" s="257">
        <v>1000</v>
      </c>
      <c r="D17" s="273">
        <f>MIN(B17,(C17/mbToGB)/(secondsPerYear/12))</f>
        <v>3.0441400304414001</v>
      </c>
      <c r="E17" s="273">
        <f>MIN(B17,(C17/mbToGB)*(30/L17)/(secondsPerYear/12))</f>
        <v>13.046314416177429</v>
      </c>
      <c r="F17" s="257">
        <v>128</v>
      </c>
      <c r="G17" s="257">
        <v>4</v>
      </c>
      <c r="H17" s="258">
        <v>1000</v>
      </c>
      <c r="I17" s="264">
        <v>130</v>
      </c>
      <c r="J17" s="249">
        <v>14</v>
      </c>
      <c r="K17" s="260">
        <f>($J$18*0.9+$J$17*0.09+$J$16*0.01)/publicNodePercent</f>
        <v>140</v>
      </c>
      <c r="L17" s="259">
        <v>7</v>
      </c>
      <c r="M17" s="259">
        <v>60</v>
      </c>
      <c r="N17" s="248">
        <f>'Current Bitcoin'!$M$14</f>
        <v>0.5</v>
      </c>
      <c r="O17" s="248">
        <v>0.1</v>
      </c>
    </row>
    <row r="18" spans="1:15" s="244" customFormat="1" x14ac:dyDescent="0.25">
      <c r="A18" s="246" t="s">
        <v>207</v>
      </c>
      <c r="B18" s="278">
        <v>0.5</v>
      </c>
      <c r="C18" s="257">
        <v>2</v>
      </c>
      <c r="D18" s="273">
        <f>MIN(B18,(C18/mbToGB)/(secondsPerYear/12))</f>
        <v>6.0882800608828003E-3</v>
      </c>
      <c r="E18" s="273">
        <f>MIN(B18,(C18/mbToGB)*(30/L18)/(secondsPerYear/12))</f>
        <v>2.6092628832354858E-2</v>
      </c>
      <c r="F18" s="257">
        <v>32</v>
      </c>
      <c r="G18" s="257">
        <v>1</v>
      </c>
      <c r="H18" s="258">
        <v>100</v>
      </c>
      <c r="I18" s="264">
        <v>250</v>
      </c>
      <c r="J18" s="249">
        <v>14</v>
      </c>
      <c r="K18" s="249">
        <v>0</v>
      </c>
      <c r="L18" s="259">
        <v>7</v>
      </c>
      <c r="M18" s="259">
        <v>60</v>
      </c>
      <c r="N18" s="248">
        <v>0.75</v>
      </c>
      <c r="O18" s="248">
        <v>0.1</v>
      </c>
    </row>
    <row r="19" spans="1:15" s="52" customFormat="1" x14ac:dyDescent="0.25">
      <c r="A19" s="54" t="s">
        <v>8</v>
      </c>
      <c r="B19" s="84">
        <f>bandwidthGrowth</f>
        <v>0.25</v>
      </c>
      <c r="C19" s="182">
        <f>bandwidthGrowth</f>
        <v>0.25</v>
      </c>
      <c r="F19" s="62">
        <v>0.25</v>
      </c>
      <c r="G19" s="62">
        <v>0.15</v>
      </c>
      <c r="H19" s="62">
        <v>0.17</v>
      </c>
      <c r="I19" s="148">
        <v>-0.03</v>
      </c>
    </row>
    <row r="20" spans="1:15" s="52" customFormat="1" x14ac:dyDescent="0.25"/>
    <row r="22" spans="1:15" x14ac:dyDescent="0.25">
      <c r="A22" s="83" t="s">
        <v>118</v>
      </c>
    </row>
    <row r="23" spans="1:15" s="78" customFormat="1" x14ac:dyDescent="0.25">
      <c r="A23" s="83"/>
      <c r="I23" s="86"/>
      <c r="J23" s="86"/>
    </row>
    <row r="24" spans="1:15" x14ac:dyDescent="0.25">
      <c r="A24" s="80" t="s">
        <v>6</v>
      </c>
      <c r="B24" s="285" t="s">
        <v>76</v>
      </c>
      <c r="E24" s="86"/>
      <c r="F24" s="86"/>
      <c r="G24" s="78"/>
      <c r="H24" s="78"/>
      <c r="I24" s="86"/>
      <c r="J24" s="86"/>
    </row>
    <row r="25" spans="1:15" s="78" customFormat="1" x14ac:dyDescent="0.25"/>
    <row r="26" spans="1:15" s="78" customFormat="1" x14ac:dyDescent="0.25">
      <c r="E26" s="187" t="s">
        <v>246</v>
      </c>
      <c r="H26" s="79" t="s">
        <v>105</v>
      </c>
    </row>
    <row r="27" spans="1:15" x14ac:dyDescent="0.25">
      <c r="A27" s="79" t="s">
        <v>109</v>
      </c>
      <c r="B27" s="79" t="s">
        <v>110</v>
      </c>
      <c r="C27" s="79"/>
      <c r="D27" s="79" t="s">
        <v>99</v>
      </c>
      <c r="E27" s="187" t="s">
        <v>247</v>
      </c>
      <c r="F27" s="79" t="s">
        <v>104</v>
      </c>
      <c r="G27" s="79" t="s">
        <v>102</v>
      </c>
      <c r="H27" s="79" t="s">
        <v>106</v>
      </c>
    </row>
    <row r="28" spans="1:15" x14ac:dyDescent="0.25">
      <c r="A28" s="79" t="s">
        <v>108</v>
      </c>
      <c r="B28" s="79" t="s">
        <v>108</v>
      </c>
      <c r="C28" s="79" t="s">
        <v>98</v>
      </c>
      <c r="D28" s="79" t="s">
        <v>100</v>
      </c>
      <c r="E28" s="187" t="s">
        <v>44</v>
      </c>
      <c r="F28" s="79" t="s">
        <v>103</v>
      </c>
      <c r="G28" s="79" t="s">
        <v>54</v>
      </c>
      <c r="H28" s="79" t="s">
        <v>107</v>
      </c>
    </row>
    <row r="29" spans="1:15" x14ac:dyDescent="0.25">
      <c r="A29" s="15">
        <f>avgTrSize</f>
        <v>475</v>
      </c>
      <c r="B29" s="85">
        <v>2</v>
      </c>
      <c r="C29" s="98">
        <v>8</v>
      </c>
      <c r="D29" s="85">
        <v>100</v>
      </c>
      <c r="E29" s="15">
        <v>32</v>
      </c>
      <c r="F29" s="100">
        <v>1E-4</v>
      </c>
      <c r="G29" s="66">
        <f>CEILING(LOG(F29,0.5),1)</f>
        <v>14</v>
      </c>
      <c r="H29" s="84">
        <v>0.75</v>
      </c>
    </row>
    <row r="30" spans="1:15" x14ac:dyDescent="0.25">
      <c r="E30" s="160"/>
    </row>
    <row r="31" spans="1:15" s="78" customFormat="1" x14ac:dyDescent="0.25">
      <c r="A31" s="83" t="s">
        <v>172</v>
      </c>
      <c r="E31" s="161"/>
      <c r="F31" s="160"/>
      <c r="H31"/>
    </row>
    <row r="32" spans="1:15" s="78" customFormat="1" x14ac:dyDescent="0.25">
      <c r="A32" s="83"/>
      <c r="F32" s="161"/>
      <c r="H32" s="161" t="s">
        <v>178</v>
      </c>
    </row>
    <row r="33" spans="1:9" s="78" customFormat="1" x14ac:dyDescent="0.25">
      <c r="B33" s="161" t="s">
        <v>175</v>
      </c>
      <c r="C33" s="161" t="s">
        <v>101</v>
      </c>
      <c r="D33" s="161" t="s">
        <v>96</v>
      </c>
      <c r="E33" s="79" t="s">
        <v>29</v>
      </c>
      <c r="F33" s="79" t="s">
        <v>177</v>
      </c>
      <c r="G33" s="161" t="s">
        <v>29</v>
      </c>
      <c r="H33" s="161" t="s">
        <v>179</v>
      </c>
      <c r="I33" s="160" t="s">
        <v>28</v>
      </c>
    </row>
    <row r="34" spans="1:9" s="78" customFormat="1" x14ac:dyDescent="0.25">
      <c r="A34" s="102" t="s">
        <v>7</v>
      </c>
      <c r="B34" s="161" t="s">
        <v>107</v>
      </c>
      <c r="C34" s="161" t="s">
        <v>174</v>
      </c>
      <c r="D34" s="161" t="s">
        <v>97</v>
      </c>
      <c r="E34" s="79" t="s">
        <v>176</v>
      </c>
      <c r="F34" s="79" t="s">
        <v>8</v>
      </c>
      <c r="G34" s="161" t="s">
        <v>30</v>
      </c>
      <c r="H34" s="161" t="s">
        <v>30</v>
      </c>
      <c r="I34" s="79" t="s">
        <v>65</v>
      </c>
    </row>
    <row r="35" spans="1:9" s="78" customFormat="1" x14ac:dyDescent="0.25">
      <c r="A35" s="78">
        <v>0</v>
      </c>
      <c r="B35" s="165">
        <f>memory10pf*POWER(1+memoryGrowth,A35)*ongoingResourceRatio10pf</f>
        <v>0.4</v>
      </c>
      <c r="C35" s="78">
        <f t="shared" ref="C35:C50" si="0">FLOOR(LOG(B35*1000*1000*1000/utreexoHashSize, 2),1)</f>
        <v>23</v>
      </c>
      <c r="D35" s="99">
        <f t="shared" ref="D35:D50" si="1">utreexoHashSize*(CEILING(LOG((endGameUsers*1000*1000*1000)*utxosPerUserEndGame, 2), 1)-C35)</f>
        <v>544</v>
      </c>
      <c r="E35" s="92">
        <f>(avgSyncBandwidth10pf*syncResourceRatio10pf*mbToGB*POWER(1+bandwidthGrowth,A35))*(secondsPerYear*recentSyncTime10pf/365)</f>
        <v>493.15068493150682</v>
      </c>
      <c r="F35" s="166">
        <f t="shared" ref="F35:F50" si="2">(E35-B35)/(assumevalidBlockTime/365)</f>
        <v>856.44761904761913</v>
      </c>
      <c r="G35" s="91">
        <f t="shared" ref="G35:G50" si="3">(F35*KBperGB/secondsPerYear)*secondsPerBlock/1000</f>
        <v>16.294665506994274</v>
      </c>
      <c r="H35" s="91">
        <f t="shared" ref="H35:H50" si="4">G35*endGameTransactionSize/(endGameTransactionSize+D35)</f>
        <v>7.5956487888344268</v>
      </c>
      <c r="I35" s="72">
        <f t="shared" ref="I35:I50" si="5">G35*1000*1000/(secondsPerBlock*(avgTrSize+D35))</f>
        <v>26.65139925906816</v>
      </c>
    </row>
    <row r="36" spans="1:9" s="78" customFormat="1" x14ac:dyDescent="0.25">
      <c r="A36" s="78">
        <v>1</v>
      </c>
      <c r="B36" s="271">
        <f>memory10pf*POWER(1+memoryGrowth,A36)*ongoingResourceRatio10pf</f>
        <v>0.45999999999999996</v>
      </c>
      <c r="C36" s="78">
        <f t="shared" si="0"/>
        <v>23</v>
      </c>
      <c r="D36" s="99">
        <f t="shared" si="1"/>
        <v>544</v>
      </c>
      <c r="E36" s="254">
        <f>(avgSyncBandwidth10pf*syncResourceRatio10pf*mbToGB*POWER(1+bandwidthGrowth,A36))*(secondsPerYear*recentSyncTime10pf/365)</f>
        <v>616.43835616438355</v>
      </c>
      <c r="F36" s="166">
        <f t="shared" si="2"/>
        <v>1070.6290476190477</v>
      </c>
      <c r="G36" s="91">
        <f t="shared" si="3"/>
        <v>20.369654635065594</v>
      </c>
      <c r="H36" s="91">
        <f t="shared" si="4"/>
        <v>9.4951775776802325</v>
      </c>
      <c r="I36" s="72">
        <f t="shared" si="5"/>
        <v>33.31641255326398</v>
      </c>
    </row>
    <row r="37" spans="1:9" s="78" customFormat="1" x14ac:dyDescent="0.25">
      <c r="A37" s="78">
        <v>2</v>
      </c>
      <c r="B37" s="271">
        <f>memory10pf*POWER(1+memoryGrowth,A37)*ongoingResourceRatio10pf</f>
        <v>0.52899999999999991</v>
      </c>
      <c r="C37" s="78">
        <f t="shared" si="0"/>
        <v>23</v>
      </c>
      <c r="D37" s="99">
        <f t="shared" si="1"/>
        <v>544</v>
      </c>
      <c r="E37" s="254">
        <f>(avgSyncBandwidth10pf*syncResourceRatio10pf*mbToGB*POWER(1+bandwidthGrowth,A37))*(secondsPerYear*recentSyncTime10pf/365)</f>
        <v>770.54794520547944</v>
      </c>
      <c r="F37" s="166">
        <f t="shared" si="2"/>
        <v>1338.366261904762</v>
      </c>
      <c r="G37" s="91">
        <f t="shared" si="3"/>
        <v>25.463589457853161</v>
      </c>
      <c r="H37" s="91">
        <f t="shared" si="4"/>
        <v>11.869681052483072</v>
      </c>
      <c r="I37" s="72">
        <f t="shared" si="5"/>
        <v>41.648003692923055</v>
      </c>
    </row>
    <row r="38" spans="1:9" s="78" customFormat="1" x14ac:dyDescent="0.25">
      <c r="A38" s="78">
        <v>3</v>
      </c>
      <c r="B38" s="271">
        <f>memory10pf*POWER(1+memoryGrowth,A38)*ongoingResourceRatio10pf</f>
        <v>0.60834999999999984</v>
      </c>
      <c r="C38" s="78">
        <f t="shared" si="0"/>
        <v>24</v>
      </c>
      <c r="D38" s="99">
        <f t="shared" si="1"/>
        <v>512</v>
      </c>
      <c r="E38" s="254">
        <f>(avgSyncBandwidth10pf*syncResourceRatio10pf*mbToGB*POWER(1+bandwidthGrowth,A38))*(secondsPerYear*recentSyncTime10pf/365)</f>
        <v>963.18493150684924</v>
      </c>
      <c r="F38" s="166">
        <f t="shared" si="2"/>
        <v>1673.0497726190476</v>
      </c>
      <c r="G38" s="91">
        <f t="shared" si="3"/>
        <v>31.831236160940787</v>
      </c>
      <c r="H38" s="91">
        <f t="shared" si="4"/>
        <v>15.318983968031281</v>
      </c>
      <c r="I38" s="72">
        <f t="shared" si="5"/>
        <v>53.750820940460628</v>
      </c>
    </row>
    <row r="39" spans="1:9" s="78" customFormat="1" x14ac:dyDescent="0.25">
      <c r="A39" s="78">
        <v>4</v>
      </c>
      <c r="B39" s="271">
        <f>memory10pf*POWER(1+memoryGrowth,A39)*ongoingResourceRatio10pf</f>
        <v>0.69960249999999979</v>
      </c>
      <c r="C39" s="78">
        <f t="shared" si="0"/>
        <v>24</v>
      </c>
      <c r="D39" s="99">
        <f t="shared" si="1"/>
        <v>512</v>
      </c>
      <c r="E39" s="254">
        <f>(avgSyncBandwidth10pf*syncResourceRatio10pf*mbToGB*POWER(1+bandwidthGrowth,A39))*(secondsPerYear*recentSyncTime10pf/365)</f>
        <v>1203.9811643835617</v>
      </c>
      <c r="F39" s="166">
        <f t="shared" si="2"/>
        <v>2091.4179527976189</v>
      </c>
      <c r="G39" s="91">
        <f t="shared" si="3"/>
        <v>39.791056940593968</v>
      </c>
      <c r="H39" s="91">
        <f t="shared" si="4"/>
        <v>19.149698122372982</v>
      </c>
      <c r="I39" s="72">
        <f t="shared" si="5"/>
        <v>67.191923236396434</v>
      </c>
    </row>
    <row r="40" spans="1:9" s="78" customFormat="1" x14ac:dyDescent="0.25">
      <c r="A40" s="78">
        <v>5</v>
      </c>
      <c r="B40" s="271">
        <f>memory10pf*POWER(1+memoryGrowth,A40)*ongoingResourceRatio10pf</f>
        <v>0.80454287499999977</v>
      </c>
      <c r="C40" s="78">
        <f t="shared" si="0"/>
        <v>24</v>
      </c>
      <c r="D40" s="99">
        <f t="shared" si="1"/>
        <v>512</v>
      </c>
      <c r="E40" s="254">
        <f>(avgSyncBandwidth10pf*syncResourceRatio10pf*mbToGB*POWER(1+bandwidthGrowth,A40))*(secondsPerYear*recentSyncTime10pf/365)</f>
        <v>1504.9764554794519</v>
      </c>
      <c r="F40" s="166">
        <f t="shared" si="2"/>
        <v>2614.3940385744049</v>
      </c>
      <c r="G40" s="91">
        <f t="shared" si="3"/>
        <v>49.741134676073152</v>
      </c>
      <c r="H40" s="91">
        <f t="shared" si="4"/>
        <v>23.938236039650203</v>
      </c>
      <c r="I40" s="72">
        <f t="shared" si="5"/>
        <v>83.993810665439298</v>
      </c>
    </row>
    <row r="41" spans="1:9" s="78" customFormat="1" x14ac:dyDescent="0.25">
      <c r="A41" s="78">
        <v>6</v>
      </c>
      <c r="B41" s="271">
        <f>memory10pf*POWER(1+memoryGrowth,A41)*ongoingResourceRatio10pf</f>
        <v>0.92522430624999963</v>
      </c>
      <c r="C41" s="78">
        <f t="shared" si="0"/>
        <v>24</v>
      </c>
      <c r="D41" s="99">
        <f t="shared" si="1"/>
        <v>512</v>
      </c>
      <c r="E41" s="254">
        <f>(avgSyncBandwidth10pf*syncResourceRatio10pf*mbToGB*POWER(1+bandwidthGrowth,A41))*(secondsPerYear*recentSyncTime10pf/365)</f>
        <v>1881.2205693493149</v>
      </c>
      <c r="F41" s="166">
        <f t="shared" si="2"/>
        <v>3268.132385431994</v>
      </c>
      <c r="G41" s="91">
        <f t="shared" si="3"/>
        <v>62.179078870471727</v>
      </c>
      <c r="H41" s="91">
        <f t="shared" si="4"/>
        <v>29.924075444249311</v>
      </c>
      <c r="I41" s="72">
        <f t="shared" si="5"/>
        <v>104.99675594473442</v>
      </c>
    </row>
    <row r="42" spans="1:9" s="78" customFormat="1" x14ac:dyDescent="0.25">
      <c r="A42" s="78">
        <v>7</v>
      </c>
      <c r="B42" s="271">
        <f>memory10pf*POWER(1+memoryGrowth,A42)*ongoingResourceRatio10pf</f>
        <v>1.0640079521874994</v>
      </c>
      <c r="C42" s="78">
        <f t="shared" si="0"/>
        <v>24</v>
      </c>
      <c r="D42" s="99">
        <f t="shared" si="1"/>
        <v>512</v>
      </c>
      <c r="E42" s="254">
        <f>(avgSyncBandwidth10pf*syncResourceRatio10pf*mbToGB*POWER(1+bandwidthGrowth,A42))*(secondsPerYear*recentSyncTime10pf/365)</f>
        <v>2351.5257116866437</v>
      </c>
      <c r="F42" s="166">
        <f t="shared" si="2"/>
        <v>4085.3262945860783</v>
      </c>
      <c r="G42" s="91">
        <f t="shared" si="3"/>
        <v>77.72690819227698</v>
      </c>
      <c r="H42" s="91">
        <f t="shared" si="4"/>
        <v>37.406566759201176</v>
      </c>
      <c r="I42" s="72">
        <f t="shared" si="5"/>
        <v>131.25111143579363</v>
      </c>
    </row>
    <row r="43" spans="1:9" s="78" customFormat="1" x14ac:dyDescent="0.25">
      <c r="A43" s="78">
        <v>8</v>
      </c>
      <c r="B43" s="271">
        <f>memory10pf*POWER(1+memoryGrowth,A43)*ongoingResourceRatio10pf</f>
        <v>1.2236091450156241</v>
      </c>
      <c r="C43" s="78">
        <f t="shared" si="0"/>
        <v>25</v>
      </c>
      <c r="D43" s="99">
        <f t="shared" si="1"/>
        <v>480</v>
      </c>
      <c r="E43" s="254">
        <f>(avgSyncBandwidth10pf*syncResourceRatio10pf*mbToGB*POWER(1+bandwidthGrowth,A43))*(secondsPerYear*recentSyncTime10pf/365)</f>
        <v>2939.4071396083045</v>
      </c>
      <c r="F43" s="166">
        <f t="shared" si="2"/>
        <v>5106.8428029480983</v>
      </c>
      <c r="G43" s="91">
        <f t="shared" si="3"/>
        <v>97.162153785161692</v>
      </c>
      <c r="H43" s="91">
        <f t="shared" si="4"/>
        <v>48.326725704661577</v>
      </c>
      <c r="I43" s="72">
        <f t="shared" si="5"/>
        <v>169.56745861284762</v>
      </c>
    </row>
    <row r="44" spans="1:9" s="78" customFormat="1" x14ac:dyDescent="0.25">
      <c r="A44" s="78">
        <v>9</v>
      </c>
      <c r="B44" s="271">
        <f>memory10pf*POWER(1+memoryGrowth,A44)*ongoingResourceRatio10pf</f>
        <v>1.4071505167679677</v>
      </c>
      <c r="C44" s="78">
        <f t="shared" si="0"/>
        <v>25</v>
      </c>
      <c r="D44" s="99">
        <f t="shared" si="1"/>
        <v>480</v>
      </c>
      <c r="E44" s="254">
        <f>(avgSyncBandwidth10pf*syncResourceRatio10pf*mbToGB*POWER(1+bandwidthGrowth,A44))*(secondsPerYear*recentSyncTime10pf/365)</f>
        <v>3674.2589245103809</v>
      </c>
      <c r="F44" s="166">
        <f t="shared" si="2"/>
        <v>6383.7661786079461</v>
      </c>
      <c r="G44" s="91">
        <f t="shared" si="3"/>
        <v>121.45673855798985</v>
      </c>
      <c r="H44" s="91">
        <f t="shared" si="4"/>
        <v>60.41041970161799</v>
      </c>
      <c r="I44" s="72">
        <f t="shared" si="5"/>
        <v>211.96638491795787</v>
      </c>
    </row>
    <row r="45" spans="1:9" s="78" customFormat="1" x14ac:dyDescent="0.25">
      <c r="A45" s="78">
        <v>10</v>
      </c>
      <c r="B45" s="271">
        <f>memory10pf*POWER(1+memoryGrowth,A45)*ongoingResourceRatio10pf</f>
        <v>1.6182230942831628</v>
      </c>
      <c r="C45" s="78">
        <f t="shared" si="0"/>
        <v>25</v>
      </c>
      <c r="D45" s="99">
        <f t="shared" si="1"/>
        <v>480</v>
      </c>
      <c r="E45" s="254">
        <f>(avgSyncBandwidth10pf*syncResourceRatio10pf*mbToGB*POWER(1+bandwidthGrowth,A45))*(secondsPerYear*recentSyncTime10pf/365)</f>
        <v>4592.8236556379761</v>
      </c>
      <c r="F45" s="166">
        <f t="shared" si="2"/>
        <v>7979.9522994211811</v>
      </c>
      <c r="G45" s="91">
        <f t="shared" si="3"/>
        <v>151.82557647300573</v>
      </c>
      <c r="H45" s="91">
        <f t="shared" si="4"/>
        <v>75.515339083432167</v>
      </c>
      <c r="I45" s="72">
        <f t="shared" si="5"/>
        <v>264.96610204713045</v>
      </c>
    </row>
    <row r="46" spans="1:9" s="78" customFormat="1" x14ac:dyDescent="0.25">
      <c r="A46" s="78">
        <v>11</v>
      </c>
      <c r="B46" s="271">
        <f>memory10pf*POWER(1+memoryGrowth,A46)*ongoingResourceRatio10pf</f>
        <v>1.8609565584256371</v>
      </c>
      <c r="C46" s="78">
        <f t="shared" si="0"/>
        <v>25</v>
      </c>
      <c r="D46" s="99">
        <f t="shared" si="1"/>
        <v>480</v>
      </c>
      <c r="E46" s="254">
        <f>(avgSyncBandwidth10pf*syncResourceRatio10pf*mbToGB*POWER(1+bandwidthGrowth,A46))*(secondsPerYear*recentSyncTime10pf/365)</f>
        <v>5741.0295695474706</v>
      </c>
      <c r="F46" s="166">
        <f t="shared" si="2"/>
        <v>9975.221636861912</v>
      </c>
      <c r="G46" s="91">
        <f t="shared" si="3"/>
        <v>189.78732185810335</v>
      </c>
      <c r="H46" s="91">
        <f t="shared" si="4"/>
        <v>94.396835479161354</v>
      </c>
      <c r="I46" s="72">
        <f t="shared" si="5"/>
        <v>331.21696659354865</v>
      </c>
    </row>
    <row r="47" spans="1:9" s="78" customFormat="1" x14ac:dyDescent="0.25">
      <c r="A47" s="78">
        <v>12</v>
      </c>
      <c r="B47" s="271">
        <f>memory10pf*POWER(1+memoryGrowth,A47)*ongoingResourceRatio10pf</f>
        <v>2.140100042189482</v>
      </c>
      <c r="C47" s="78">
        <f t="shared" si="0"/>
        <v>25</v>
      </c>
      <c r="D47" s="99">
        <f t="shared" si="1"/>
        <v>480</v>
      </c>
      <c r="E47" s="254">
        <f>(avgSyncBandwidth10pf*syncResourceRatio10pf*mbToGB*POWER(1+bandwidthGrowth,A47))*(secondsPerYear*recentSyncTime10pf/365)</f>
        <v>7176.2869619343373</v>
      </c>
      <c r="F47" s="166">
        <f t="shared" si="2"/>
        <v>12469.350498050639</v>
      </c>
      <c r="G47" s="91">
        <f t="shared" si="3"/>
        <v>237.24030627950225</v>
      </c>
      <c r="H47" s="91">
        <f t="shared" si="4"/>
        <v>117.99910521755348</v>
      </c>
      <c r="I47" s="72">
        <f t="shared" si="5"/>
        <v>414.03194813176657</v>
      </c>
    </row>
    <row r="48" spans="1:9" s="78" customFormat="1" x14ac:dyDescent="0.25">
      <c r="A48" s="78">
        <v>13</v>
      </c>
      <c r="B48" s="271">
        <f>memory10pf*POWER(1+memoryGrowth,A48)*ongoingResourceRatio10pf</f>
        <v>2.4611150485179047</v>
      </c>
      <c r="C48" s="78">
        <f t="shared" si="0"/>
        <v>26</v>
      </c>
      <c r="D48" s="99">
        <f t="shared" si="1"/>
        <v>448</v>
      </c>
      <c r="E48" s="254">
        <f>(avgSyncBandwidth10pf*syncResourceRatio10pf*mbToGB*POWER(1+bandwidthGrowth,A48))*(secondsPerYear*recentSyncTime10pf/365)</f>
        <v>8970.3587024179214</v>
      </c>
      <c r="F48" s="166">
        <f t="shared" si="2"/>
        <v>15587.060092332535</v>
      </c>
      <c r="G48" s="91">
        <f t="shared" si="3"/>
        <v>296.55745989978186</v>
      </c>
      <c r="H48" s="91">
        <f t="shared" si="4"/>
        <v>152.61624426045111</v>
      </c>
      <c r="I48" s="72">
        <f t="shared" si="5"/>
        <v>535.49559389631975</v>
      </c>
    </row>
    <row r="49" spans="1:9" s="78" customFormat="1" x14ac:dyDescent="0.25">
      <c r="A49" s="78">
        <v>14</v>
      </c>
      <c r="B49" s="271">
        <f>memory10pf*POWER(1+memoryGrowth,A49)*ongoingResourceRatio10pf</f>
        <v>2.8302823057955901</v>
      </c>
      <c r="C49" s="78">
        <f t="shared" si="0"/>
        <v>26</v>
      </c>
      <c r="D49" s="99">
        <f t="shared" si="1"/>
        <v>448</v>
      </c>
      <c r="E49" s="254">
        <f>(avgSyncBandwidth10pf*syncResourceRatio10pf*mbToGB*POWER(1+bandwidthGrowth,A49))*(secondsPerYear*recentSyncTime10pf/365)</f>
        <v>11212.948378022402</v>
      </c>
      <c r="F49" s="166">
        <f t="shared" si="2"/>
        <v>19484.252880650296</v>
      </c>
      <c r="G49" s="91">
        <f t="shared" si="3"/>
        <v>370.70496348269211</v>
      </c>
      <c r="H49" s="91">
        <f t="shared" si="4"/>
        <v>190.77449366660753</v>
      </c>
      <c r="I49" s="72">
        <f t="shared" si="5"/>
        <v>669.38418830388605</v>
      </c>
    </row>
    <row r="50" spans="1:9" s="78" customFormat="1" x14ac:dyDescent="0.25">
      <c r="A50" s="78">
        <v>15</v>
      </c>
      <c r="B50" s="271">
        <f>memory10pf*POWER(1+memoryGrowth,A50)*ongoingResourceRatio10pf</f>
        <v>3.254824651664928</v>
      </c>
      <c r="C50" s="78">
        <f t="shared" si="0"/>
        <v>26</v>
      </c>
      <c r="D50" s="99">
        <f t="shared" si="1"/>
        <v>448</v>
      </c>
      <c r="E50" s="254">
        <f>(avgSyncBandwidth10pf*syncResourceRatio10pf*mbToGB*POWER(1+bandwidthGrowth,A50))*(secondsPerYear*recentSyncTime10pf/365)</f>
        <v>14016.185472528003</v>
      </c>
      <c r="F50" s="166">
        <f t="shared" si="2"/>
        <v>24355.808030832683</v>
      </c>
      <c r="G50" s="91">
        <f t="shared" si="3"/>
        <v>463.39056375252443</v>
      </c>
      <c r="H50" s="91">
        <f t="shared" si="4"/>
        <v>238.4729336754595</v>
      </c>
      <c r="I50" s="72">
        <f t="shared" si="5"/>
        <v>836.74713570336667</v>
      </c>
    </row>
    <row r="51" spans="1:9" s="78" customFormat="1" x14ac:dyDescent="0.25"/>
    <row r="52" spans="1:9" s="78" customFormat="1" x14ac:dyDescent="0.25">
      <c r="A52" s="83" t="s">
        <v>173</v>
      </c>
      <c r="E52" s="161"/>
      <c r="H52" s="161"/>
    </row>
    <row r="53" spans="1:9" s="78" customFormat="1" x14ac:dyDescent="0.25">
      <c r="A53" s="83"/>
      <c r="F53" s="161"/>
      <c r="H53" s="161" t="s">
        <v>178</v>
      </c>
    </row>
    <row r="54" spans="1:9" s="78" customFormat="1" x14ac:dyDescent="0.25">
      <c r="B54" s="161" t="s">
        <v>175</v>
      </c>
      <c r="C54" s="161" t="s">
        <v>101</v>
      </c>
      <c r="D54" s="161" t="s">
        <v>96</v>
      </c>
      <c r="E54" s="161" t="s">
        <v>29</v>
      </c>
      <c r="F54" s="161" t="s">
        <v>29</v>
      </c>
      <c r="G54" s="161" t="s">
        <v>28</v>
      </c>
      <c r="H54" s="161" t="s">
        <v>179</v>
      </c>
    </row>
    <row r="55" spans="1:9" s="78" customFormat="1" x14ac:dyDescent="0.25">
      <c r="A55" s="162" t="s">
        <v>7</v>
      </c>
      <c r="B55" s="161" t="s">
        <v>107</v>
      </c>
      <c r="C55" s="161" t="s">
        <v>174</v>
      </c>
      <c r="D55" s="161" t="s">
        <v>97</v>
      </c>
      <c r="E55" s="161" t="s">
        <v>26</v>
      </c>
      <c r="F55" s="161" t="s">
        <v>95</v>
      </c>
      <c r="G55" s="161" t="s">
        <v>16</v>
      </c>
      <c r="H55" s="161" t="s">
        <v>30</v>
      </c>
    </row>
    <row r="56" spans="1:9" s="78" customFormat="1" x14ac:dyDescent="0.25">
      <c r="A56" s="78">
        <v>0</v>
      </c>
      <c r="B56" s="271">
        <f>memory10pf*POWER(1+memoryGrowth,A56)*ongoingResourceRatio10pf</f>
        <v>0.4</v>
      </c>
      <c r="C56" s="78">
        <f t="shared" ref="C56:C71" si="6">FLOOR(LOG(B56*1000*1000*1000/utreexoHashSize, 2),1)</f>
        <v>23</v>
      </c>
      <c r="D56" s="99">
        <f t="shared" ref="D56:D71" si="7">utreexoHashSize*(CEILING(LOG((endGameUsers*1000*1000*1000)*utxosPerUserEndGame, 2), 1)-C56)</f>
        <v>544</v>
      </c>
      <c r="E56" s="167">
        <f>(validationRate10pf*syncResourceRatio10pf*POWER(1+cpuGrowth,A56))*(secondsPerYear*recentSyncTime10pf/365)/1000/1000/1000</f>
        <v>0.3024</v>
      </c>
      <c r="F56" s="163">
        <f t="shared" ref="F56:F71" si="8">E56*1000*1000*1000/(secondsPerYear*assumevalidBlockTime/365)</f>
        <v>16.666666666666668</v>
      </c>
      <c r="G56" s="91">
        <f t="shared" ref="G56:G71" si="9">F56*secondsPerBlock*(endGameTransactionSize+D56)/1000/1000</f>
        <v>10.19</v>
      </c>
      <c r="H56" s="91">
        <f t="shared" ref="H56:H71" si="10">G56*endGameTransactionSize/(endGameTransactionSize+D56)</f>
        <v>4.75</v>
      </c>
    </row>
    <row r="57" spans="1:9" s="78" customFormat="1" x14ac:dyDescent="0.25">
      <c r="A57" s="78">
        <v>1</v>
      </c>
      <c r="B57" s="271">
        <f>memory10pf*POWER(1+memoryGrowth,A57)*ongoingResourceRatio10pf</f>
        <v>0.45999999999999996</v>
      </c>
      <c r="C57" s="78">
        <f t="shared" si="6"/>
        <v>23</v>
      </c>
      <c r="D57" s="99">
        <f t="shared" si="7"/>
        <v>544</v>
      </c>
      <c r="E57" s="272">
        <f>(validationRate10pf*syncResourceRatio10pf*POWER(1+cpuGrowth,A57))*(secondsPerYear*recentSyncTime10pf/365)/1000/1000/1000</f>
        <v>0.35380800000000001</v>
      </c>
      <c r="F57" s="163">
        <f t="shared" si="8"/>
        <v>19.5</v>
      </c>
      <c r="G57" s="91">
        <f t="shared" si="9"/>
        <v>11.9223</v>
      </c>
      <c r="H57" s="91">
        <f t="shared" si="10"/>
        <v>5.5575000000000001</v>
      </c>
    </row>
    <row r="58" spans="1:9" s="78" customFormat="1" x14ac:dyDescent="0.25">
      <c r="A58" s="78">
        <v>2</v>
      </c>
      <c r="B58" s="271">
        <f>memory10pf*POWER(1+memoryGrowth,A58)*ongoingResourceRatio10pf</f>
        <v>0.52899999999999991</v>
      </c>
      <c r="C58" s="78">
        <f t="shared" si="6"/>
        <v>23</v>
      </c>
      <c r="D58" s="99">
        <f t="shared" si="7"/>
        <v>544</v>
      </c>
      <c r="E58" s="272">
        <f>(validationRate10pf*syncResourceRatio10pf*POWER(1+cpuGrowth,A58))*(secondsPerYear*recentSyncTime10pf/365)/1000/1000/1000</f>
        <v>0.41395535999999994</v>
      </c>
      <c r="F58" s="163">
        <f t="shared" si="8"/>
        <v>22.814999999999998</v>
      </c>
      <c r="G58" s="91">
        <f t="shared" si="9"/>
        <v>13.949090999999999</v>
      </c>
      <c r="H58" s="91">
        <f t="shared" si="10"/>
        <v>6.502275</v>
      </c>
    </row>
    <row r="59" spans="1:9" s="78" customFormat="1" x14ac:dyDescent="0.25">
      <c r="A59" s="78">
        <v>3</v>
      </c>
      <c r="B59" s="271">
        <f>memory10pf*POWER(1+memoryGrowth,A59)*ongoingResourceRatio10pf</f>
        <v>0.60834999999999984</v>
      </c>
      <c r="C59" s="78">
        <f t="shared" si="6"/>
        <v>24</v>
      </c>
      <c r="D59" s="99">
        <f t="shared" si="7"/>
        <v>512</v>
      </c>
      <c r="E59" s="272">
        <f>(validationRate10pf*syncResourceRatio10pf*POWER(1+cpuGrowth,A59))*(secondsPerYear*recentSyncTime10pf/365)/1000/1000/1000</f>
        <v>0.48432777119999992</v>
      </c>
      <c r="F59" s="163">
        <f t="shared" si="8"/>
        <v>26.693549999999995</v>
      </c>
      <c r="G59" s="91">
        <f t="shared" si="9"/>
        <v>15.807920309999998</v>
      </c>
      <c r="H59" s="91">
        <f t="shared" si="10"/>
        <v>7.6076617499999992</v>
      </c>
    </row>
    <row r="60" spans="1:9" s="78" customFormat="1" x14ac:dyDescent="0.25">
      <c r="A60" s="78">
        <v>4</v>
      </c>
      <c r="B60" s="271">
        <f>memory10pf*POWER(1+memoryGrowth,A60)*ongoingResourceRatio10pf</f>
        <v>0.69960249999999979</v>
      </c>
      <c r="C60" s="78">
        <f t="shared" si="6"/>
        <v>24</v>
      </c>
      <c r="D60" s="99">
        <f t="shared" si="7"/>
        <v>512</v>
      </c>
      <c r="E60" s="272">
        <f>(validationRate10pf*syncResourceRatio10pf*POWER(1+cpuGrowth,A60))*(secondsPerYear*recentSyncTime10pf/365)/1000/1000/1000</f>
        <v>0.56666349230399993</v>
      </c>
      <c r="F60" s="163">
        <f t="shared" si="8"/>
        <v>31.231453499999986</v>
      </c>
      <c r="G60" s="91">
        <f t="shared" si="9"/>
        <v>18.495266762699991</v>
      </c>
      <c r="H60" s="91">
        <f t="shared" si="10"/>
        <v>8.9009642474999957</v>
      </c>
    </row>
    <row r="61" spans="1:9" s="78" customFormat="1" x14ac:dyDescent="0.25">
      <c r="A61" s="78">
        <v>5</v>
      </c>
      <c r="B61" s="271">
        <f>memory10pf*POWER(1+memoryGrowth,A61)*ongoingResourceRatio10pf</f>
        <v>0.80454287499999977</v>
      </c>
      <c r="C61" s="78">
        <f t="shared" si="6"/>
        <v>24</v>
      </c>
      <c r="D61" s="99">
        <f t="shared" si="7"/>
        <v>512</v>
      </c>
      <c r="E61" s="272">
        <f>(validationRate10pf*syncResourceRatio10pf*POWER(1+cpuGrowth,A61))*(secondsPerYear*recentSyncTime10pf/365)/1000/1000/1000</f>
        <v>0.66299628599567983</v>
      </c>
      <c r="F61" s="163">
        <f t="shared" si="8"/>
        <v>36.540800594999986</v>
      </c>
      <c r="G61" s="91">
        <f t="shared" si="9"/>
        <v>21.639462112358991</v>
      </c>
      <c r="H61" s="91">
        <f t="shared" si="10"/>
        <v>10.414128169574996</v>
      </c>
    </row>
    <row r="62" spans="1:9" s="78" customFormat="1" x14ac:dyDescent="0.25">
      <c r="A62" s="78">
        <v>6</v>
      </c>
      <c r="B62" s="271">
        <f>memory10pf*POWER(1+memoryGrowth,A62)*ongoingResourceRatio10pf</f>
        <v>0.92522430624999963</v>
      </c>
      <c r="C62" s="78">
        <f t="shared" si="6"/>
        <v>24</v>
      </c>
      <c r="D62" s="99">
        <f t="shared" si="7"/>
        <v>512</v>
      </c>
      <c r="E62" s="272">
        <f>(validationRate10pf*syncResourceRatio10pf*POWER(1+cpuGrowth,A62))*(secondsPerYear*recentSyncTime10pf/365)/1000/1000/1000</f>
        <v>0.77570565461494534</v>
      </c>
      <c r="F62" s="163">
        <f t="shared" si="8"/>
        <v>42.752736696149988</v>
      </c>
      <c r="G62" s="91">
        <f t="shared" si="9"/>
        <v>25.318170671460024</v>
      </c>
      <c r="H62" s="91">
        <f t="shared" si="10"/>
        <v>12.184529958402749</v>
      </c>
    </row>
    <row r="63" spans="1:9" s="78" customFormat="1" x14ac:dyDescent="0.25">
      <c r="A63" s="78">
        <v>7</v>
      </c>
      <c r="B63" s="271">
        <f>memory10pf*POWER(1+memoryGrowth,A63)*ongoingResourceRatio10pf</f>
        <v>1.0640079521874994</v>
      </c>
      <c r="C63" s="78">
        <f t="shared" si="6"/>
        <v>24</v>
      </c>
      <c r="D63" s="99">
        <f t="shared" si="7"/>
        <v>512</v>
      </c>
      <c r="E63" s="272">
        <f>(validationRate10pf*syncResourceRatio10pf*POWER(1+cpuGrowth,A63))*(secondsPerYear*recentSyncTime10pf/365)/1000/1000/1000</f>
        <v>0.90757561589948599</v>
      </c>
      <c r="F63" s="163">
        <f t="shared" si="8"/>
        <v>50.020701934495477</v>
      </c>
      <c r="G63" s="91">
        <f t="shared" si="9"/>
        <v>29.622259685608221</v>
      </c>
      <c r="H63" s="91">
        <f t="shared" si="10"/>
        <v>14.25590005133121</v>
      </c>
    </row>
    <row r="64" spans="1:9" s="78" customFormat="1" x14ac:dyDescent="0.25">
      <c r="A64" s="78">
        <v>8</v>
      </c>
      <c r="B64" s="271">
        <f>memory10pf*POWER(1+memoryGrowth,A64)*ongoingResourceRatio10pf</f>
        <v>1.2236091450156241</v>
      </c>
      <c r="C64" s="78">
        <f t="shared" si="6"/>
        <v>25</v>
      </c>
      <c r="D64" s="99">
        <f t="shared" si="7"/>
        <v>480</v>
      </c>
      <c r="E64" s="272">
        <f>(validationRate10pf*syncResourceRatio10pf*POWER(1+cpuGrowth,A64))*(secondsPerYear*recentSyncTime10pf/365)/1000/1000/1000</f>
        <v>1.0618634706023986</v>
      </c>
      <c r="F64" s="163">
        <f t="shared" si="8"/>
        <v>58.524221263359706</v>
      </c>
      <c r="G64" s="91">
        <f t="shared" si="9"/>
        <v>33.534378783905112</v>
      </c>
      <c r="H64" s="91">
        <f t="shared" si="10"/>
        <v>16.679403060057517</v>
      </c>
    </row>
    <row r="65" spans="1:8" s="78" customFormat="1" x14ac:dyDescent="0.25">
      <c r="A65" s="78">
        <v>9</v>
      </c>
      <c r="B65" s="271">
        <f>memory10pf*POWER(1+memoryGrowth,A65)*ongoingResourceRatio10pf</f>
        <v>1.4071505167679677</v>
      </c>
      <c r="C65" s="78">
        <f t="shared" si="6"/>
        <v>25</v>
      </c>
      <c r="D65" s="99">
        <f t="shared" si="7"/>
        <v>480</v>
      </c>
      <c r="E65" s="272">
        <f>(validationRate10pf*syncResourceRatio10pf*POWER(1+cpuGrowth,A65))*(secondsPerYear*recentSyncTime10pf/365)/1000/1000/1000</f>
        <v>1.242380260604806</v>
      </c>
      <c r="F65" s="163">
        <f t="shared" si="8"/>
        <v>68.473338878130846</v>
      </c>
      <c r="G65" s="91">
        <f t="shared" si="9"/>
        <v>39.235223177168969</v>
      </c>
      <c r="H65" s="91">
        <f t="shared" si="10"/>
        <v>19.514901580267288</v>
      </c>
    </row>
    <row r="66" spans="1:8" s="78" customFormat="1" x14ac:dyDescent="0.25">
      <c r="A66" s="78">
        <v>10</v>
      </c>
      <c r="B66" s="271">
        <f>memory10pf*POWER(1+memoryGrowth,A66)*ongoingResourceRatio10pf</f>
        <v>1.6182230942831628</v>
      </c>
      <c r="C66" s="78">
        <f t="shared" si="6"/>
        <v>25</v>
      </c>
      <c r="D66" s="99">
        <f t="shared" si="7"/>
        <v>480</v>
      </c>
      <c r="E66" s="272">
        <f>(validationRate10pf*syncResourceRatio10pf*POWER(1+cpuGrowth,A66))*(secondsPerYear*recentSyncTime10pf/365)/1000/1000/1000</f>
        <v>1.453584904907623</v>
      </c>
      <c r="F66" s="163">
        <f t="shared" si="8"/>
        <v>80.113806487413086</v>
      </c>
      <c r="G66" s="91">
        <f t="shared" si="9"/>
        <v>45.905211117287699</v>
      </c>
      <c r="H66" s="91">
        <f t="shared" si="10"/>
        <v>22.83243484891273</v>
      </c>
    </row>
    <row r="67" spans="1:8" s="78" customFormat="1" x14ac:dyDescent="0.25">
      <c r="A67" s="78">
        <v>11</v>
      </c>
      <c r="B67" s="271">
        <f>memory10pf*POWER(1+memoryGrowth,A67)*ongoingResourceRatio10pf</f>
        <v>1.8609565584256371</v>
      </c>
      <c r="C67" s="78">
        <f t="shared" si="6"/>
        <v>25</v>
      </c>
      <c r="D67" s="99">
        <f t="shared" si="7"/>
        <v>480</v>
      </c>
      <c r="E67" s="272">
        <f>(validationRate10pf*syncResourceRatio10pf*POWER(1+cpuGrowth,A67))*(secondsPerYear*recentSyncTime10pf/365)/1000/1000/1000</f>
        <v>1.7006943387419187</v>
      </c>
      <c r="F67" s="163">
        <f t="shared" si="8"/>
        <v>93.733153590273304</v>
      </c>
      <c r="G67" s="91">
        <f t="shared" si="9"/>
        <v>53.709097007226596</v>
      </c>
      <c r="H67" s="91">
        <f t="shared" si="10"/>
        <v>26.713948773227887</v>
      </c>
    </row>
    <row r="68" spans="1:8" s="78" customFormat="1" x14ac:dyDescent="0.25">
      <c r="A68" s="78">
        <v>12</v>
      </c>
      <c r="B68" s="271">
        <f>memory10pf*POWER(1+memoryGrowth,A68)*ongoingResourceRatio10pf</f>
        <v>2.140100042189482</v>
      </c>
      <c r="C68" s="78">
        <f t="shared" si="6"/>
        <v>25</v>
      </c>
      <c r="D68" s="99">
        <f t="shared" si="7"/>
        <v>480</v>
      </c>
      <c r="E68" s="272">
        <f>(validationRate10pf*syncResourceRatio10pf*POWER(1+cpuGrowth,A68))*(secondsPerYear*recentSyncTime10pf/365)/1000/1000/1000</f>
        <v>1.9898123763280446</v>
      </c>
      <c r="F68" s="163">
        <f t="shared" si="8"/>
        <v>109.66778970061975</v>
      </c>
      <c r="G68" s="91">
        <f t="shared" si="9"/>
        <v>62.839643498455125</v>
      </c>
      <c r="H68" s="91">
        <f t="shared" si="10"/>
        <v>31.255320064676631</v>
      </c>
    </row>
    <row r="69" spans="1:8" s="78" customFormat="1" x14ac:dyDescent="0.25">
      <c r="A69" s="78">
        <v>13</v>
      </c>
      <c r="B69" s="271">
        <f>memory10pf*POWER(1+memoryGrowth,A69)*ongoingResourceRatio10pf</f>
        <v>2.4611150485179047</v>
      </c>
      <c r="C69" s="78">
        <f t="shared" si="6"/>
        <v>26</v>
      </c>
      <c r="D69" s="99">
        <f t="shared" si="7"/>
        <v>448</v>
      </c>
      <c r="E69" s="272">
        <f>(validationRate10pf*syncResourceRatio10pf*POWER(1+cpuGrowth,A69))*(secondsPerYear*recentSyncTime10pf/365)/1000/1000/1000</f>
        <v>2.3280804803038118</v>
      </c>
      <c r="F69" s="163">
        <f t="shared" si="8"/>
        <v>128.31131394972508</v>
      </c>
      <c r="G69" s="91">
        <f t="shared" si="9"/>
        <v>71.058805665357752</v>
      </c>
      <c r="H69" s="91">
        <f t="shared" si="10"/>
        <v>36.568724475671651</v>
      </c>
    </row>
    <row r="70" spans="1:8" s="78" customFormat="1" x14ac:dyDescent="0.25">
      <c r="A70" s="78">
        <v>14</v>
      </c>
      <c r="B70" s="271">
        <f>memory10pf*POWER(1+memoryGrowth,A70)*ongoingResourceRatio10pf</f>
        <v>2.8302823057955901</v>
      </c>
      <c r="C70" s="78">
        <f t="shared" si="6"/>
        <v>26</v>
      </c>
      <c r="D70" s="99">
        <f t="shared" si="7"/>
        <v>448</v>
      </c>
      <c r="E70" s="272">
        <f>(validationRate10pf*syncResourceRatio10pf*POWER(1+cpuGrowth,A70))*(secondsPerYear*recentSyncTime10pf/365)/1000/1000/1000</f>
        <v>2.7238541619554604</v>
      </c>
      <c r="F70" s="163">
        <f t="shared" si="8"/>
        <v>150.12423732117838</v>
      </c>
      <c r="G70" s="91">
        <f t="shared" si="9"/>
        <v>83.138802628468596</v>
      </c>
      <c r="H70" s="91">
        <f t="shared" si="10"/>
        <v>42.785407636535844</v>
      </c>
    </row>
    <row r="71" spans="1:8" s="78" customFormat="1" x14ac:dyDescent="0.25">
      <c r="A71" s="78">
        <v>15</v>
      </c>
      <c r="B71" s="271">
        <f>memory10pf*POWER(1+memoryGrowth,A71)*ongoingResourceRatio10pf</f>
        <v>3.254824651664928</v>
      </c>
      <c r="C71" s="78">
        <f t="shared" si="6"/>
        <v>26</v>
      </c>
      <c r="D71" s="99">
        <f t="shared" si="7"/>
        <v>448</v>
      </c>
      <c r="E71" s="272">
        <f>(validationRate10pf*syncResourceRatio10pf*POWER(1+cpuGrowth,A71))*(secondsPerYear*recentSyncTime10pf/365)/1000/1000/1000</f>
        <v>3.1869093694878874</v>
      </c>
      <c r="F71" s="163">
        <f t="shared" si="8"/>
        <v>175.64535766577865</v>
      </c>
      <c r="G71" s="91">
        <f t="shared" si="9"/>
        <v>97.272399075308215</v>
      </c>
      <c r="H71" s="91">
        <f t="shared" si="10"/>
        <v>50.058926934746914</v>
      </c>
    </row>
    <row r="72" spans="1:8" s="78" customFormat="1" x14ac:dyDescent="0.25"/>
    <row r="73" spans="1:8" s="78" customFormat="1" x14ac:dyDescent="0.25">
      <c r="A73" s="83" t="s">
        <v>117</v>
      </c>
    </row>
    <row r="74" spans="1:8" x14ac:dyDescent="0.25">
      <c r="G74" s="161" t="s">
        <v>178</v>
      </c>
      <c r="H74" s="78"/>
    </row>
    <row r="75" spans="1:8" x14ac:dyDescent="0.25">
      <c r="B75" s="161" t="s">
        <v>175</v>
      </c>
      <c r="C75" s="79" t="s">
        <v>101</v>
      </c>
      <c r="D75" s="79" t="s">
        <v>96</v>
      </c>
      <c r="E75" s="164" t="s">
        <v>184</v>
      </c>
      <c r="F75" s="161" t="s">
        <v>131</v>
      </c>
      <c r="G75" s="161" t="s">
        <v>179</v>
      </c>
      <c r="H75" s="161" t="s">
        <v>28</v>
      </c>
    </row>
    <row r="76" spans="1:8" x14ac:dyDescent="0.25">
      <c r="A76" s="97" t="s">
        <v>7</v>
      </c>
      <c r="B76" s="161" t="s">
        <v>107</v>
      </c>
      <c r="C76" s="79" t="s">
        <v>174</v>
      </c>
      <c r="D76" s="79" t="s">
        <v>97</v>
      </c>
      <c r="E76" s="164" t="s">
        <v>185</v>
      </c>
      <c r="F76" s="161" t="s">
        <v>30</v>
      </c>
      <c r="G76" s="161" t="s">
        <v>30</v>
      </c>
      <c r="H76" s="161" t="s">
        <v>52</v>
      </c>
    </row>
    <row r="77" spans="1:8" x14ac:dyDescent="0.25">
      <c r="A77" s="78">
        <v>0</v>
      </c>
      <c r="B77" s="308">
        <f>memory10pf*POWER(1+memoryGrowth,A77)*ongoingResourceRatio10pf</f>
        <v>0.4</v>
      </c>
      <c r="C77" s="78">
        <f t="shared" ref="C77:C92" si="11">FLOOR(LOG(B77*1000*1000*1000/utreexoHashSize, 2),1)</f>
        <v>23</v>
      </c>
      <c r="D77" s="99">
        <f>utreexoHashSize*(CEILING(LOG((endGameUsers*1000*1000*1000)*utxosPerUserEndGame, 2), 1)-C77)</f>
        <v>544</v>
      </c>
      <c r="E77" s="289">
        <f>avgBandwidth10pf*ongoingResourceRatio10pf*POWER(1+bandwidthGrowth,A77)</f>
        <v>0.30441400304414001</v>
      </c>
      <c r="F77" s="91">
        <f>E77*mbToGB*1000*secondsPerBlock/2</f>
        <v>11.415525114155251</v>
      </c>
      <c r="G77" s="91">
        <f t="shared" ref="G77:G92" si="12">F77*endGameTransactionSize/(endGameTransactionSize+D77)</f>
        <v>5.3212702936444991</v>
      </c>
      <c r="H77" s="163">
        <f t="shared" ref="H77:H92" si="13">F77*1000*1000/(secondsPerBlock*(avgTrSize+D77))</f>
        <v>18.671123837349118</v>
      </c>
    </row>
    <row r="78" spans="1:8" x14ac:dyDescent="0.25">
      <c r="A78" s="78">
        <v>1</v>
      </c>
      <c r="B78" s="271">
        <f>memory10pf*POWER(1+memoryGrowth,A78)*ongoingResourceRatio10pf</f>
        <v>0.45999999999999996</v>
      </c>
      <c r="C78" s="78">
        <f t="shared" si="11"/>
        <v>23</v>
      </c>
      <c r="D78" s="99">
        <f t="shared" ref="D77:D92" si="14">utreexoHashSize*(CEILING(LOG((endGameUsers*1000*1000*1000)*utxosPerUserEndGame, 2), 1)-C78)</f>
        <v>544</v>
      </c>
      <c r="E78" s="289">
        <f>avgBandwidth10pf*ongoingResourceRatio10pf*POWER(1+bandwidthGrowth,A78)</f>
        <v>0.38051750380517502</v>
      </c>
      <c r="F78" s="253">
        <f>E78*mbToGB*1000*secondsPerBlock/2</f>
        <v>14.269406392694064</v>
      </c>
      <c r="G78" s="91">
        <f t="shared" si="12"/>
        <v>6.6515878670556239</v>
      </c>
      <c r="H78" s="163">
        <f t="shared" si="13"/>
        <v>23.338904796686396</v>
      </c>
    </row>
    <row r="79" spans="1:8" x14ac:dyDescent="0.25">
      <c r="A79" s="78">
        <v>2</v>
      </c>
      <c r="B79" s="271">
        <f>memory10pf*POWER(1+memoryGrowth,A79)*ongoingResourceRatio10pf</f>
        <v>0.52899999999999991</v>
      </c>
      <c r="C79" s="78">
        <f t="shared" si="11"/>
        <v>23</v>
      </c>
      <c r="D79" s="99">
        <f t="shared" si="14"/>
        <v>544</v>
      </c>
      <c r="E79" s="289">
        <f>avgBandwidth10pf*ongoingResourceRatio10pf*POWER(1+bandwidthGrowth,A79)</f>
        <v>0.4756468797564688</v>
      </c>
      <c r="F79" s="253">
        <f>E79*mbToGB*1000*secondsPerBlock/2</f>
        <v>17.836757990867579</v>
      </c>
      <c r="G79" s="91">
        <f t="shared" si="12"/>
        <v>8.3144848338195274</v>
      </c>
      <c r="H79" s="163">
        <f t="shared" si="13"/>
        <v>29.173630995858002</v>
      </c>
    </row>
    <row r="80" spans="1:8" x14ac:dyDescent="0.25">
      <c r="A80" s="78">
        <v>3</v>
      </c>
      <c r="B80" s="271">
        <f>memory10pf*POWER(1+memoryGrowth,A80)*ongoingResourceRatio10pf</f>
        <v>0.60834999999999984</v>
      </c>
      <c r="C80" s="78">
        <f t="shared" si="11"/>
        <v>24</v>
      </c>
      <c r="D80" s="99">
        <f t="shared" si="14"/>
        <v>512</v>
      </c>
      <c r="E80" s="289">
        <f>avgBandwidth10pf*ongoingResourceRatio10pf*POWER(1+bandwidthGrowth,A80)</f>
        <v>0.594558599695586</v>
      </c>
      <c r="F80" s="253">
        <f>E80*mbToGB*1000*secondsPerBlock/2</f>
        <v>22.295947488584474</v>
      </c>
      <c r="G80" s="91">
        <f t="shared" si="12"/>
        <v>10.730065913959093</v>
      </c>
      <c r="H80" s="163">
        <f t="shared" si="13"/>
        <v>37.649354084066999</v>
      </c>
    </row>
    <row r="81" spans="1:11" x14ac:dyDescent="0.25">
      <c r="A81" s="78">
        <v>4</v>
      </c>
      <c r="B81" s="271">
        <f>memory10pf*POWER(1+memoryGrowth,A81)*ongoingResourceRatio10pf</f>
        <v>0.69960249999999979</v>
      </c>
      <c r="C81" s="78">
        <f t="shared" si="11"/>
        <v>24</v>
      </c>
      <c r="D81" s="99">
        <f t="shared" si="14"/>
        <v>512</v>
      </c>
      <c r="E81" s="289">
        <f>avgBandwidth10pf*ongoingResourceRatio10pf*POWER(1+bandwidthGrowth,A81)</f>
        <v>0.74319824961948244</v>
      </c>
      <c r="F81" s="253">
        <f>E81*mbToGB*1000*secondsPerBlock/2</f>
        <v>27.869934360730593</v>
      </c>
      <c r="G81" s="91">
        <f t="shared" si="12"/>
        <v>13.412582392448867</v>
      </c>
      <c r="H81" s="163">
        <f t="shared" si="13"/>
        <v>47.061692605083742</v>
      </c>
    </row>
    <row r="82" spans="1:11" x14ac:dyDescent="0.25">
      <c r="A82" s="78">
        <v>5</v>
      </c>
      <c r="B82" s="271">
        <f>memory10pf*POWER(1+memoryGrowth,A82)*ongoingResourceRatio10pf</f>
        <v>0.80454287499999977</v>
      </c>
      <c r="C82" s="78">
        <f t="shared" si="11"/>
        <v>24</v>
      </c>
      <c r="D82" s="99">
        <f t="shared" si="14"/>
        <v>512</v>
      </c>
      <c r="E82" s="289">
        <f>avgBandwidth10pf*ongoingResourceRatio10pf*POWER(1+bandwidthGrowth,A82)</f>
        <v>0.92899781202435305</v>
      </c>
      <c r="F82" s="253">
        <f>E82*mbToGB*1000*secondsPerBlock/2</f>
        <v>34.837417950913242</v>
      </c>
      <c r="G82" s="91">
        <f t="shared" si="12"/>
        <v>16.765727990561082</v>
      </c>
      <c r="H82" s="163">
        <f t="shared" si="13"/>
        <v>58.827115756354679</v>
      </c>
    </row>
    <row r="83" spans="1:11" x14ac:dyDescent="0.25">
      <c r="A83" s="78">
        <v>6</v>
      </c>
      <c r="B83" s="271">
        <f>memory10pf*POWER(1+memoryGrowth,A83)*ongoingResourceRatio10pf</f>
        <v>0.92522430624999963</v>
      </c>
      <c r="C83" s="78">
        <f t="shared" si="11"/>
        <v>24</v>
      </c>
      <c r="D83" s="99">
        <f t="shared" si="14"/>
        <v>512</v>
      </c>
      <c r="E83" s="289">
        <f>avgBandwidth10pf*ongoingResourceRatio10pf*POWER(1+bandwidthGrowth,A83)</f>
        <v>1.1612472650304413</v>
      </c>
      <c r="F83" s="253">
        <f>E83*mbToGB*1000*secondsPerBlock/2</f>
        <v>43.546772438641554</v>
      </c>
      <c r="G83" s="91">
        <f t="shared" si="12"/>
        <v>20.957159988201354</v>
      </c>
      <c r="H83" s="163">
        <f t="shared" si="13"/>
        <v>73.533894695443351</v>
      </c>
    </row>
    <row r="84" spans="1:11" x14ac:dyDescent="0.25">
      <c r="A84" s="78">
        <v>7</v>
      </c>
      <c r="B84" s="271">
        <f>memory10pf*POWER(1+memoryGrowth,A84)*ongoingResourceRatio10pf</f>
        <v>1.0640079521874994</v>
      </c>
      <c r="C84" s="78">
        <f t="shared" si="11"/>
        <v>24</v>
      </c>
      <c r="D84" s="99">
        <f t="shared" si="14"/>
        <v>512</v>
      </c>
      <c r="E84" s="289">
        <f>avgBandwidth10pf*ongoingResourceRatio10pf*POWER(1+bandwidthGrowth,A84)</f>
        <v>1.4515590812880517</v>
      </c>
      <c r="F84" s="253">
        <f>E84*mbToGB*1000*secondsPerBlock/2</f>
        <v>54.433465548301939</v>
      </c>
      <c r="G84" s="91">
        <f t="shared" si="12"/>
        <v>26.196449985251693</v>
      </c>
      <c r="H84" s="163">
        <f t="shared" si="13"/>
        <v>91.917368369304185</v>
      </c>
    </row>
    <row r="85" spans="1:11" x14ac:dyDescent="0.25">
      <c r="A85" s="78">
        <v>8</v>
      </c>
      <c r="B85" s="271">
        <f>memory10pf*POWER(1+memoryGrowth,A85)*ongoingResourceRatio10pf</f>
        <v>1.2236091450156241</v>
      </c>
      <c r="C85" s="78">
        <f t="shared" si="11"/>
        <v>25</v>
      </c>
      <c r="D85" s="99">
        <f t="shared" si="14"/>
        <v>480</v>
      </c>
      <c r="E85" s="289">
        <f>avgBandwidth10pf*ongoingResourceRatio10pf*POWER(1+bandwidthGrowth,A85)</f>
        <v>1.8144488516100645</v>
      </c>
      <c r="F85" s="253">
        <f>E85*mbToGB*1000*secondsPerBlock/2</f>
        <v>68.041831935377417</v>
      </c>
      <c r="G85" s="91">
        <f t="shared" si="12"/>
        <v>33.842795988800283</v>
      </c>
      <c r="H85" s="163">
        <f t="shared" si="13"/>
        <v>118.74665259228171</v>
      </c>
    </row>
    <row r="86" spans="1:11" x14ac:dyDescent="0.25">
      <c r="A86" s="78">
        <v>9</v>
      </c>
      <c r="B86" s="271">
        <f>memory10pf*POWER(1+memoryGrowth,A86)*ongoingResourceRatio10pf</f>
        <v>1.4071505167679677</v>
      </c>
      <c r="C86" s="78">
        <f t="shared" si="11"/>
        <v>25</v>
      </c>
      <c r="D86" s="99">
        <f t="shared" si="14"/>
        <v>480</v>
      </c>
      <c r="E86" s="289">
        <f>avgBandwidth10pf*ongoingResourceRatio10pf*POWER(1+bandwidthGrowth,A86)</f>
        <v>2.2680610645125809</v>
      </c>
      <c r="F86" s="253">
        <f>E86*mbToGB*1000*secondsPerBlock/2</f>
        <v>85.052289919221792</v>
      </c>
      <c r="G86" s="91">
        <f t="shared" si="12"/>
        <v>42.303494986000366</v>
      </c>
      <c r="H86" s="163">
        <f t="shared" si="13"/>
        <v>148.43331574035216</v>
      </c>
    </row>
    <row r="87" spans="1:11" x14ac:dyDescent="0.25">
      <c r="A87" s="78">
        <v>10</v>
      </c>
      <c r="B87" s="271">
        <f>memory10pf*POWER(1+memoryGrowth,A87)*ongoingResourceRatio10pf</f>
        <v>1.6182230942831628</v>
      </c>
      <c r="C87" s="78">
        <f t="shared" si="11"/>
        <v>25</v>
      </c>
      <c r="D87" s="99">
        <f t="shared" si="14"/>
        <v>480</v>
      </c>
      <c r="E87" s="289">
        <f>avgBandwidth10pf*ongoingResourceRatio10pf*POWER(1+bandwidthGrowth,A87)</f>
        <v>2.8350763306407258</v>
      </c>
      <c r="F87" s="253">
        <f>E87*mbToGB*1000*secondsPerBlock/2</f>
        <v>106.31536239902722</v>
      </c>
      <c r="G87" s="91">
        <f t="shared" si="12"/>
        <v>52.879368732500446</v>
      </c>
      <c r="H87" s="163">
        <f t="shared" si="13"/>
        <v>185.54164467544015</v>
      </c>
    </row>
    <row r="88" spans="1:11" x14ac:dyDescent="0.25">
      <c r="A88" s="78">
        <v>11</v>
      </c>
      <c r="B88" s="271">
        <f>memory10pf*POWER(1+memoryGrowth,A88)*ongoingResourceRatio10pf</f>
        <v>1.8609565584256371</v>
      </c>
      <c r="C88" s="78">
        <f t="shared" si="11"/>
        <v>25</v>
      </c>
      <c r="D88" s="99">
        <f t="shared" si="14"/>
        <v>480</v>
      </c>
      <c r="E88" s="289">
        <f>avgBandwidth10pf*ongoingResourceRatio10pf*POWER(1+bandwidthGrowth,A88)</f>
        <v>3.5438454133009074</v>
      </c>
      <c r="F88" s="253">
        <f>E88*mbToGB*1000*secondsPerBlock/2</f>
        <v>132.89420299878404</v>
      </c>
      <c r="G88" s="91">
        <f t="shared" si="12"/>
        <v>66.099210915625562</v>
      </c>
      <c r="H88" s="163">
        <f t="shared" si="13"/>
        <v>231.92705584430027</v>
      </c>
    </row>
    <row r="89" spans="1:11" x14ac:dyDescent="0.25">
      <c r="A89" s="78">
        <v>12</v>
      </c>
      <c r="B89" s="271">
        <f>memory10pf*POWER(1+memoryGrowth,A89)*ongoingResourceRatio10pf</f>
        <v>2.140100042189482</v>
      </c>
      <c r="C89" s="78">
        <f t="shared" si="11"/>
        <v>25</v>
      </c>
      <c r="D89" s="99">
        <f t="shared" si="14"/>
        <v>480</v>
      </c>
      <c r="E89" s="289">
        <f>avgBandwidth10pf*ongoingResourceRatio10pf*POWER(1+bandwidthGrowth,A89)</f>
        <v>4.4298067666261343</v>
      </c>
      <c r="F89" s="253">
        <f>E89*mbToGB*1000*secondsPerBlock/2</f>
        <v>166.11775374848003</v>
      </c>
      <c r="G89" s="91">
        <f t="shared" si="12"/>
        <v>82.624013644531956</v>
      </c>
      <c r="H89" s="163">
        <f t="shared" si="13"/>
        <v>289.90881980537523</v>
      </c>
    </row>
    <row r="90" spans="1:11" x14ac:dyDescent="0.25">
      <c r="A90" s="78">
        <v>13</v>
      </c>
      <c r="B90" s="271">
        <f>memory10pf*POWER(1+memoryGrowth,A90)*ongoingResourceRatio10pf</f>
        <v>2.4611150485179047</v>
      </c>
      <c r="C90" s="78">
        <f t="shared" si="11"/>
        <v>26</v>
      </c>
      <c r="D90" s="99">
        <f t="shared" si="14"/>
        <v>448</v>
      </c>
      <c r="E90" s="289">
        <f>avgBandwidth10pf*ongoingResourceRatio10pf*POWER(1+bandwidthGrowth,A90)</f>
        <v>5.5372584582826674</v>
      </c>
      <c r="F90" s="253">
        <f>E90*mbToGB*1000*secondsPerBlock/2</f>
        <v>207.64719218560003</v>
      </c>
      <c r="G90" s="91">
        <f t="shared" si="12"/>
        <v>106.86068936962083</v>
      </c>
      <c r="H90" s="163">
        <f t="shared" si="13"/>
        <v>374.9497872618274</v>
      </c>
    </row>
    <row r="91" spans="1:11" x14ac:dyDescent="0.25">
      <c r="A91" s="78">
        <v>14</v>
      </c>
      <c r="B91" s="271">
        <f>memory10pf*POWER(1+memoryGrowth,A91)*ongoingResourceRatio10pf</f>
        <v>2.8302823057955901</v>
      </c>
      <c r="C91" s="78">
        <f t="shared" si="11"/>
        <v>26</v>
      </c>
      <c r="D91" s="99">
        <f t="shared" si="14"/>
        <v>448</v>
      </c>
      <c r="E91" s="289">
        <f>avgBandwidth10pf*ongoingResourceRatio10pf*POWER(1+bandwidthGrowth,A91)</f>
        <v>6.9215730728533345</v>
      </c>
      <c r="F91" s="253">
        <f>E91*mbToGB*1000*secondsPerBlock/2</f>
        <v>259.55899023200004</v>
      </c>
      <c r="G91" s="91">
        <f t="shared" si="12"/>
        <v>133.57586171202604</v>
      </c>
      <c r="H91" s="163">
        <f t="shared" si="13"/>
        <v>468.6872340772843</v>
      </c>
    </row>
    <row r="92" spans="1:11" x14ac:dyDescent="0.25">
      <c r="A92" s="78">
        <v>15</v>
      </c>
      <c r="B92" s="271">
        <f>memory10pf*POWER(1+memoryGrowth,A92)*ongoingResourceRatio10pf</f>
        <v>3.254824651664928</v>
      </c>
      <c r="C92" s="78">
        <f t="shared" si="11"/>
        <v>26</v>
      </c>
      <c r="D92" s="99">
        <f t="shared" si="14"/>
        <v>448</v>
      </c>
      <c r="E92" s="289">
        <f>avgBandwidth10pf*ongoingResourceRatio10pf*POWER(1+bandwidthGrowth,A92)</f>
        <v>8.6519663410666681</v>
      </c>
      <c r="F92" s="253">
        <f>E92*mbToGB*1000*secondsPerBlock/2</f>
        <v>324.44873779000005</v>
      </c>
      <c r="G92" s="91">
        <f t="shared" si="12"/>
        <v>166.96982714003252</v>
      </c>
      <c r="H92" s="163">
        <f t="shared" si="13"/>
        <v>585.85904259660526</v>
      </c>
    </row>
    <row r="93" spans="1:11" s="78" customFormat="1" x14ac:dyDescent="0.25"/>
    <row r="94" spans="1:11" s="78" customFormat="1" x14ac:dyDescent="0.25">
      <c r="A94" s="83" t="s">
        <v>180</v>
      </c>
      <c r="E94" s="161"/>
      <c r="H94" s="161"/>
    </row>
    <row r="95" spans="1:11" s="78" customFormat="1" x14ac:dyDescent="0.25">
      <c r="A95" s="83"/>
      <c r="E95" s="161"/>
      <c r="G95" s="161" t="s">
        <v>178</v>
      </c>
      <c r="H95" s="161"/>
    </row>
    <row r="96" spans="1:11" s="78" customFormat="1" x14ac:dyDescent="0.25">
      <c r="B96" s="161" t="s">
        <v>175</v>
      </c>
      <c r="C96" s="161" t="s">
        <v>101</v>
      </c>
      <c r="D96" s="161" t="s">
        <v>96</v>
      </c>
      <c r="E96" s="161" t="s">
        <v>131</v>
      </c>
      <c r="F96" s="161" t="s">
        <v>28</v>
      </c>
      <c r="G96" s="161" t="s">
        <v>179</v>
      </c>
      <c r="H96" s="161"/>
      <c r="I96" s="161"/>
      <c r="J96" s="161"/>
      <c r="K96" s="161"/>
    </row>
    <row r="97" spans="1:11" s="78" customFormat="1" x14ac:dyDescent="0.25">
      <c r="A97" s="162" t="s">
        <v>7</v>
      </c>
      <c r="B97" s="161" t="s">
        <v>107</v>
      </c>
      <c r="C97" s="161" t="s">
        <v>174</v>
      </c>
      <c r="D97" s="161" t="s">
        <v>97</v>
      </c>
      <c r="E97" s="161" t="s">
        <v>95</v>
      </c>
      <c r="F97" s="161" t="s">
        <v>16</v>
      </c>
      <c r="G97" s="161" t="s">
        <v>30</v>
      </c>
      <c r="H97" s="161"/>
      <c r="I97" s="161"/>
      <c r="J97" s="161"/>
      <c r="K97" s="161"/>
    </row>
    <row r="98" spans="1:11" s="78" customFormat="1" x14ac:dyDescent="0.25">
      <c r="A98" s="78">
        <v>0</v>
      </c>
      <c r="B98" s="271">
        <f>memory10pf*POWER(1+memoryGrowth,A98)*ongoingResourceRatio10pf</f>
        <v>0.4</v>
      </c>
      <c r="C98" s="78">
        <f t="shared" ref="C98:C113" si="15">FLOOR(LOG(B98*1000*1000*1000/utreexoHashSize, 2),1)</f>
        <v>23</v>
      </c>
      <c r="D98" s="99">
        <f t="shared" ref="D98:D113" si="16">utreexoHashSize*(CEILING(LOG((endGameUsers*1000*1000*1000)*utxosPerUserEndGame, 2), 1)-C98)</f>
        <v>544</v>
      </c>
      <c r="E98" s="163">
        <f>(validationRate10pf*ongoingResourceRatio10pf*POWER(1+cpuGrowth,A98))</f>
        <v>100</v>
      </c>
      <c r="F98" s="91">
        <f t="shared" ref="F98:F113" si="17">E98*secondsPerBlock*(endGameTransactionSize+D98)/1000/1000</f>
        <v>61.14</v>
      </c>
      <c r="G98" s="91">
        <f t="shared" ref="G98:G113" si="18">F98*endGameTransactionSize/(endGameTransactionSize+D98)</f>
        <v>28.5</v>
      </c>
      <c r="H98" s="72"/>
      <c r="I98" s="67"/>
      <c r="J98" s="72"/>
      <c r="K98" s="50"/>
    </row>
    <row r="99" spans="1:11" s="78" customFormat="1" x14ac:dyDescent="0.25">
      <c r="A99" s="78">
        <v>1</v>
      </c>
      <c r="B99" s="271">
        <f>memory10pf*POWER(1+memoryGrowth,A99)*ongoingResourceRatio10pf</f>
        <v>0.45999999999999996</v>
      </c>
      <c r="C99" s="78">
        <f t="shared" si="15"/>
        <v>23</v>
      </c>
      <c r="D99" s="99">
        <f t="shared" si="16"/>
        <v>544</v>
      </c>
      <c r="E99" s="270">
        <f>(validationRate10pf*ongoingResourceRatio10pf*POWER(1+cpuGrowth,A99))</f>
        <v>117</v>
      </c>
      <c r="F99" s="91">
        <f t="shared" si="17"/>
        <v>71.533799999999999</v>
      </c>
      <c r="G99" s="91">
        <f t="shared" si="18"/>
        <v>33.344999999999999</v>
      </c>
      <c r="H99" s="72"/>
      <c r="I99" s="67"/>
      <c r="J99" s="72"/>
      <c r="K99" s="50"/>
    </row>
    <row r="100" spans="1:11" s="78" customFormat="1" x14ac:dyDescent="0.25">
      <c r="A100" s="78">
        <v>2</v>
      </c>
      <c r="B100" s="271">
        <f>memory10pf*POWER(1+memoryGrowth,A100)*ongoingResourceRatio10pf</f>
        <v>0.52899999999999991</v>
      </c>
      <c r="C100" s="78">
        <f t="shared" si="15"/>
        <v>23</v>
      </c>
      <c r="D100" s="99">
        <f t="shared" si="16"/>
        <v>544</v>
      </c>
      <c r="E100" s="270">
        <f>(validationRate10pf*ongoingResourceRatio10pf*POWER(1+cpuGrowth,A100))</f>
        <v>136.88999999999999</v>
      </c>
      <c r="F100" s="91">
        <f t="shared" si="17"/>
        <v>83.694545999999988</v>
      </c>
      <c r="G100" s="91">
        <f t="shared" si="18"/>
        <v>39.013649999999991</v>
      </c>
      <c r="H100" s="72"/>
      <c r="I100" s="67"/>
      <c r="J100" s="72"/>
      <c r="K100" s="50"/>
    </row>
    <row r="101" spans="1:11" s="78" customFormat="1" x14ac:dyDescent="0.25">
      <c r="A101" s="78">
        <v>3</v>
      </c>
      <c r="B101" s="271">
        <f>memory10pf*POWER(1+memoryGrowth,A101)*ongoingResourceRatio10pf</f>
        <v>0.60834999999999984</v>
      </c>
      <c r="C101" s="78">
        <f t="shared" si="15"/>
        <v>24</v>
      </c>
      <c r="D101" s="99">
        <f t="shared" si="16"/>
        <v>512</v>
      </c>
      <c r="E101" s="270">
        <f>(validationRate10pf*ongoingResourceRatio10pf*POWER(1+cpuGrowth,A101))</f>
        <v>160.16129999999998</v>
      </c>
      <c r="F101" s="91">
        <f t="shared" si="17"/>
        <v>94.847521859999972</v>
      </c>
      <c r="G101" s="91">
        <f t="shared" si="18"/>
        <v>45.64597049999999</v>
      </c>
      <c r="H101" s="72"/>
      <c r="I101" s="67"/>
      <c r="J101" s="72"/>
      <c r="K101" s="50"/>
    </row>
    <row r="102" spans="1:11" s="78" customFormat="1" x14ac:dyDescent="0.25">
      <c r="A102" s="78">
        <v>4</v>
      </c>
      <c r="B102" s="271">
        <f>memory10pf*POWER(1+memoryGrowth,A102)*ongoingResourceRatio10pf</f>
        <v>0.69960249999999979</v>
      </c>
      <c r="C102" s="78">
        <f t="shared" si="15"/>
        <v>24</v>
      </c>
      <c r="D102" s="99">
        <f t="shared" si="16"/>
        <v>512</v>
      </c>
      <c r="E102" s="270">
        <f>(validationRate10pf*ongoingResourceRatio10pf*POWER(1+cpuGrowth,A102))</f>
        <v>187.38872099999995</v>
      </c>
      <c r="F102" s="91">
        <f t="shared" si="17"/>
        <v>110.97160057619999</v>
      </c>
      <c r="G102" s="91">
        <f t="shared" si="18"/>
        <v>53.405785484999988</v>
      </c>
      <c r="H102" s="72"/>
      <c r="I102" s="67"/>
      <c r="J102" s="72"/>
      <c r="K102" s="50"/>
    </row>
    <row r="103" spans="1:11" s="78" customFormat="1" x14ac:dyDescent="0.25">
      <c r="A103" s="78">
        <v>5</v>
      </c>
      <c r="B103" s="271">
        <f>memory10pf*POWER(1+memoryGrowth,A103)*ongoingResourceRatio10pf</f>
        <v>0.80454287499999977</v>
      </c>
      <c r="C103" s="78">
        <f t="shared" si="15"/>
        <v>24</v>
      </c>
      <c r="D103" s="99">
        <f t="shared" si="16"/>
        <v>512</v>
      </c>
      <c r="E103" s="270">
        <f>(validationRate10pf*ongoingResourceRatio10pf*POWER(1+cpuGrowth,A103))</f>
        <v>219.2448035699999</v>
      </c>
      <c r="F103" s="91">
        <f t="shared" si="17"/>
        <v>129.83677267415393</v>
      </c>
      <c r="G103" s="91">
        <f t="shared" si="18"/>
        <v>62.48476901744997</v>
      </c>
      <c r="H103" s="72"/>
      <c r="I103" s="67"/>
      <c r="J103" s="72"/>
      <c r="K103" s="50"/>
    </row>
    <row r="104" spans="1:11" s="78" customFormat="1" x14ac:dyDescent="0.25">
      <c r="A104" s="78">
        <v>6</v>
      </c>
      <c r="B104" s="271">
        <f>memory10pf*POWER(1+memoryGrowth,A104)*ongoingResourceRatio10pf</f>
        <v>0.92522430624999963</v>
      </c>
      <c r="C104" s="78">
        <f t="shared" si="15"/>
        <v>24</v>
      </c>
      <c r="D104" s="99">
        <f t="shared" si="16"/>
        <v>512</v>
      </c>
      <c r="E104" s="270">
        <f>(validationRate10pf*ongoingResourceRatio10pf*POWER(1+cpuGrowth,A104))</f>
        <v>256.51642017689989</v>
      </c>
      <c r="F104" s="91">
        <f t="shared" si="17"/>
        <v>151.90902402876011</v>
      </c>
      <c r="G104" s="91">
        <f t="shared" si="18"/>
        <v>73.107179750416478</v>
      </c>
      <c r="H104" s="72"/>
      <c r="I104" s="67"/>
      <c r="J104" s="72"/>
      <c r="K104" s="50"/>
    </row>
    <row r="105" spans="1:11" s="78" customFormat="1" x14ac:dyDescent="0.25">
      <c r="A105" s="78">
        <v>7</v>
      </c>
      <c r="B105" s="271">
        <f>memory10pf*POWER(1+memoryGrowth,A105)*ongoingResourceRatio10pf</f>
        <v>1.0640079521874994</v>
      </c>
      <c r="C105" s="78">
        <f t="shared" si="15"/>
        <v>24</v>
      </c>
      <c r="D105" s="99">
        <f t="shared" si="16"/>
        <v>512</v>
      </c>
      <c r="E105" s="270">
        <f>(validationRate10pf*ongoingResourceRatio10pf*POWER(1+cpuGrowth,A105))</f>
        <v>300.12421160697284</v>
      </c>
      <c r="F105" s="91">
        <f t="shared" si="17"/>
        <v>177.73355811364931</v>
      </c>
      <c r="G105" s="91">
        <f t="shared" si="18"/>
        <v>85.53540030798726</v>
      </c>
      <c r="H105" s="72"/>
      <c r="I105" s="67"/>
      <c r="J105" s="72"/>
      <c r="K105" s="50"/>
    </row>
    <row r="106" spans="1:11" s="78" customFormat="1" x14ac:dyDescent="0.25">
      <c r="A106" s="78">
        <v>8</v>
      </c>
      <c r="B106" s="271">
        <f>memory10pf*POWER(1+memoryGrowth,A106)*ongoingResourceRatio10pf</f>
        <v>1.2236091450156241</v>
      </c>
      <c r="C106" s="78">
        <f t="shared" si="15"/>
        <v>25</v>
      </c>
      <c r="D106" s="99">
        <f t="shared" si="16"/>
        <v>480</v>
      </c>
      <c r="E106" s="270">
        <f>(validationRate10pf*ongoingResourceRatio10pf*POWER(1+cpuGrowth,A106))</f>
        <v>351.14532758015821</v>
      </c>
      <c r="F106" s="91">
        <f t="shared" si="17"/>
        <v>201.20627270343064</v>
      </c>
      <c r="G106" s="91">
        <f t="shared" si="18"/>
        <v>100.07641836034509</v>
      </c>
      <c r="H106" s="72"/>
      <c r="I106" s="67"/>
      <c r="J106" s="72"/>
      <c r="K106" s="50"/>
    </row>
    <row r="107" spans="1:11" s="78" customFormat="1" x14ac:dyDescent="0.25">
      <c r="A107" s="78">
        <v>9</v>
      </c>
      <c r="B107" s="271">
        <f>memory10pf*POWER(1+memoryGrowth,A107)*ongoingResourceRatio10pf</f>
        <v>1.4071505167679677</v>
      </c>
      <c r="C107" s="78">
        <f t="shared" si="15"/>
        <v>25</v>
      </c>
      <c r="D107" s="99">
        <f t="shared" si="16"/>
        <v>480</v>
      </c>
      <c r="E107" s="270">
        <f>(validationRate10pf*ongoingResourceRatio10pf*POWER(1+cpuGrowth,A107))</f>
        <v>410.84003326878502</v>
      </c>
      <c r="F107" s="91">
        <f t="shared" si="17"/>
        <v>235.4113390630138</v>
      </c>
      <c r="G107" s="91">
        <f t="shared" si="18"/>
        <v>117.08940948160372</v>
      </c>
      <c r="H107" s="72"/>
      <c r="I107" s="67"/>
      <c r="J107" s="72"/>
      <c r="K107" s="50"/>
    </row>
    <row r="108" spans="1:11" s="78" customFormat="1" x14ac:dyDescent="0.25">
      <c r="A108" s="78">
        <v>10</v>
      </c>
      <c r="B108" s="271">
        <f>memory10pf*POWER(1+memoryGrowth,A108)*ongoingResourceRatio10pf</f>
        <v>1.6182230942831628</v>
      </c>
      <c r="C108" s="78">
        <f t="shared" si="15"/>
        <v>25</v>
      </c>
      <c r="D108" s="99">
        <f t="shared" si="16"/>
        <v>480</v>
      </c>
      <c r="E108" s="270">
        <f>(validationRate10pf*ongoingResourceRatio10pf*POWER(1+cpuGrowth,A108))</f>
        <v>480.68283892447852</v>
      </c>
      <c r="F108" s="91">
        <f t="shared" si="17"/>
        <v>275.43126670372624</v>
      </c>
      <c r="G108" s="91">
        <f t="shared" si="18"/>
        <v>136.99460909347641</v>
      </c>
      <c r="H108" s="72"/>
      <c r="I108" s="67"/>
      <c r="J108" s="72"/>
      <c r="K108" s="50"/>
    </row>
    <row r="109" spans="1:11" s="78" customFormat="1" x14ac:dyDescent="0.25">
      <c r="A109" s="78">
        <v>11</v>
      </c>
      <c r="B109" s="271">
        <f>memory10pf*POWER(1+memoryGrowth,A109)*ongoingResourceRatio10pf</f>
        <v>1.8609565584256371</v>
      </c>
      <c r="C109" s="78">
        <f t="shared" si="15"/>
        <v>25</v>
      </c>
      <c r="D109" s="99">
        <f t="shared" si="16"/>
        <v>480</v>
      </c>
      <c r="E109" s="270">
        <f>(validationRate10pf*ongoingResourceRatio10pf*POWER(1+cpuGrowth,A109))</f>
        <v>562.39892154163988</v>
      </c>
      <c r="F109" s="91">
        <f t="shared" si="17"/>
        <v>322.25458204335968</v>
      </c>
      <c r="G109" s="91">
        <f t="shared" si="18"/>
        <v>160.28369263936739</v>
      </c>
      <c r="H109" s="72"/>
      <c r="I109" s="67"/>
      <c r="J109" s="72"/>
      <c r="K109" s="50"/>
    </row>
    <row r="110" spans="1:11" s="78" customFormat="1" x14ac:dyDescent="0.25">
      <c r="A110" s="78">
        <v>12</v>
      </c>
      <c r="B110" s="271">
        <f>memory10pf*POWER(1+memoryGrowth,A110)*ongoingResourceRatio10pf</f>
        <v>2.140100042189482</v>
      </c>
      <c r="C110" s="78">
        <f t="shared" si="15"/>
        <v>25</v>
      </c>
      <c r="D110" s="99">
        <f t="shared" si="16"/>
        <v>480</v>
      </c>
      <c r="E110" s="270">
        <f>(validationRate10pf*ongoingResourceRatio10pf*POWER(1+cpuGrowth,A110))</f>
        <v>658.00673820371844</v>
      </c>
      <c r="F110" s="91">
        <f t="shared" si="17"/>
        <v>377.03786099073068</v>
      </c>
      <c r="G110" s="91">
        <f t="shared" si="18"/>
        <v>187.53192038805975</v>
      </c>
      <c r="H110" s="72"/>
      <c r="I110" s="67"/>
      <c r="J110" s="72"/>
      <c r="K110" s="50"/>
    </row>
    <row r="111" spans="1:11" s="78" customFormat="1" x14ac:dyDescent="0.25">
      <c r="A111" s="78">
        <v>13</v>
      </c>
      <c r="B111" s="271">
        <f>memory10pf*POWER(1+memoryGrowth,A111)*ongoingResourceRatio10pf</f>
        <v>2.4611150485179047</v>
      </c>
      <c r="C111" s="78">
        <f t="shared" si="15"/>
        <v>26</v>
      </c>
      <c r="D111" s="99">
        <f t="shared" si="16"/>
        <v>448</v>
      </c>
      <c r="E111" s="270">
        <f>(validationRate10pf*ongoingResourceRatio10pf*POWER(1+cpuGrowth,A111))</f>
        <v>769.86788369835062</v>
      </c>
      <c r="F111" s="91">
        <f t="shared" si="17"/>
        <v>426.35283399214654</v>
      </c>
      <c r="G111" s="91">
        <f t="shared" si="18"/>
        <v>219.41234685402992</v>
      </c>
      <c r="H111" s="72"/>
      <c r="I111" s="67"/>
      <c r="J111" s="72"/>
      <c r="K111" s="50"/>
    </row>
    <row r="112" spans="1:11" s="78" customFormat="1" x14ac:dyDescent="0.25">
      <c r="A112" s="78">
        <v>14</v>
      </c>
      <c r="B112" s="271">
        <f>memory10pf*POWER(1+memoryGrowth,A112)*ongoingResourceRatio10pf</f>
        <v>2.8302823057955901</v>
      </c>
      <c r="C112" s="78">
        <f t="shared" si="15"/>
        <v>26</v>
      </c>
      <c r="D112" s="99">
        <f t="shared" si="16"/>
        <v>448</v>
      </c>
      <c r="E112" s="270">
        <f>(validationRate10pf*ongoingResourceRatio10pf*POWER(1+cpuGrowth,A112))</f>
        <v>900.74542392707019</v>
      </c>
      <c r="F112" s="91">
        <f t="shared" si="17"/>
        <v>498.83281577081152</v>
      </c>
      <c r="G112" s="91">
        <f t="shared" si="18"/>
        <v>256.71244581921502</v>
      </c>
      <c r="H112" s="72"/>
      <c r="I112" s="67"/>
      <c r="J112" s="72"/>
      <c r="K112" s="50"/>
    </row>
    <row r="113" spans="1:11" s="78" customFormat="1" x14ac:dyDescent="0.25">
      <c r="A113" s="78">
        <v>15</v>
      </c>
      <c r="B113" s="271">
        <f>memory10pf*POWER(1+memoryGrowth,A113)*ongoingResourceRatio10pf</f>
        <v>3.254824651664928</v>
      </c>
      <c r="C113" s="78">
        <f t="shared" si="15"/>
        <v>26</v>
      </c>
      <c r="D113" s="99">
        <f t="shared" si="16"/>
        <v>448</v>
      </c>
      <c r="E113" s="270">
        <f>(validationRate10pf*ongoingResourceRatio10pf*POWER(1+cpuGrowth,A113))</f>
        <v>1053.8721459946719</v>
      </c>
      <c r="F113" s="91">
        <f t="shared" si="17"/>
        <v>583.6343944518494</v>
      </c>
      <c r="G113" s="91">
        <f t="shared" si="18"/>
        <v>300.35356160848153</v>
      </c>
      <c r="H113" s="72"/>
      <c r="I113" s="67"/>
      <c r="J113" s="72"/>
      <c r="K113" s="50"/>
    </row>
    <row r="115" spans="1:11" s="78" customFormat="1" x14ac:dyDescent="0.25">
      <c r="A115" s="83" t="s">
        <v>182</v>
      </c>
    </row>
    <row r="116" spans="1:11" s="78" customFormat="1" x14ac:dyDescent="0.25">
      <c r="F116" s="161" t="s">
        <v>178</v>
      </c>
    </row>
    <row r="117" spans="1:11" s="78" customFormat="1" x14ac:dyDescent="0.25">
      <c r="B117" s="161" t="s">
        <v>175</v>
      </c>
      <c r="C117" s="161" t="s">
        <v>101</v>
      </c>
      <c r="D117" s="161" t="s">
        <v>96</v>
      </c>
      <c r="E117" s="161" t="s">
        <v>131</v>
      </c>
      <c r="F117" s="161" t="s">
        <v>179</v>
      </c>
      <c r="G117" s="161" t="s">
        <v>28</v>
      </c>
      <c r="H117" s="161"/>
      <c r="J117" s="161"/>
    </row>
    <row r="118" spans="1:11" s="78" customFormat="1" x14ac:dyDescent="0.25">
      <c r="A118" s="162" t="s">
        <v>7</v>
      </c>
      <c r="B118" s="161" t="s">
        <v>107</v>
      </c>
      <c r="C118" s="161" t="s">
        <v>174</v>
      </c>
      <c r="D118" s="161" t="s">
        <v>97</v>
      </c>
      <c r="E118" s="161" t="s">
        <v>30</v>
      </c>
      <c r="F118" s="161" t="s">
        <v>30</v>
      </c>
      <c r="G118" s="161" t="s">
        <v>52</v>
      </c>
      <c r="H118" s="161"/>
      <c r="J118" s="161"/>
    </row>
    <row r="119" spans="1:11" s="78" customFormat="1" x14ac:dyDescent="0.25">
      <c r="A119" s="78">
        <v>0</v>
      </c>
      <c r="B119" s="271">
        <f>memory10pf*POWER(1+memoryGrowth,A119)*ongoingResourceRatio10pf</f>
        <v>0.4</v>
      </c>
      <c r="C119" s="78">
        <f t="shared" ref="C119:C134" si="19">FLOOR(LOG(B119*1000*1000*1000/utreexoHashSize, 2),1)</f>
        <v>23</v>
      </c>
      <c r="D119" s="99">
        <f t="shared" ref="D119:D134" si="20">utreexoHashSize*(CEILING(LOG((endGameUsers*1000*1000*1000)*utxosPerUserEndGame, 2), 1)-C119)</f>
        <v>544</v>
      </c>
      <c r="E119" s="91">
        <f>(avgBandwidth10pf*endGameEmergencyUsage*mbToGB*POWER(1+bandwidthGrowth,A119)*1000)*secondsPerBlock/2</f>
        <v>85.616438356164366</v>
      </c>
      <c r="F119" s="91">
        <f t="shared" ref="F119:F134" si="21">E119*endGameTransactionSize/(endGameTransactionSize+D119)</f>
        <v>39.909527202333727</v>
      </c>
      <c r="G119" s="163">
        <f t="shared" ref="G119:G134" si="22">E119*1000*1000/(secondsPerBlock*(avgTrSize+D119))</f>
        <v>140.03342878011836</v>
      </c>
      <c r="J119" s="81"/>
    </row>
    <row r="120" spans="1:11" s="78" customFormat="1" x14ac:dyDescent="0.25">
      <c r="A120" s="78">
        <v>1</v>
      </c>
      <c r="B120" s="271">
        <f>memory10pf*POWER(1+memoryGrowth,A120)*ongoingResourceRatio10pf</f>
        <v>0.45999999999999996</v>
      </c>
      <c r="C120" s="78">
        <f t="shared" si="19"/>
        <v>23</v>
      </c>
      <c r="D120" s="99">
        <f t="shared" si="20"/>
        <v>544</v>
      </c>
      <c r="E120" s="253">
        <f>(avgBandwidth10pf*endGameEmergencyUsage*mbToGB*POWER(1+bandwidthGrowth,A120)*1000)*secondsPerBlock/2</f>
        <v>107.02054794520548</v>
      </c>
      <c r="F120" s="91">
        <f t="shared" si="21"/>
        <v>49.886909002917172</v>
      </c>
      <c r="G120" s="163">
        <f t="shared" si="22"/>
        <v>175.04178597514797</v>
      </c>
      <c r="J120" s="81"/>
    </row>
    <row r="121" spans="1:11" s="78" customFormat="1" x14ac:dyDescent="0.25">
      <c r="A121" s="78">
        <v>2</v>
      </c>
      <c r="B121" s="271">
        <f>memory10pf*POWER(1+memoryGrowth,A121)*ongoingResourceRatio10pf</f>
        <v>0.52899999999999991</v>
      </c>
      <c r="C121" s="78">
        <f t="shared" si="19"/>
        <v>23</v>
      </c>
      <c r="D121" s="99">
        <f t="shared" si="20"/>
        <v>544</v>
      </c>
      <c r="E121" s="253">
        <f>(avgBandwidth10pf*endGameEmergencyUsage*mbToGB*POWER(1+bandwidthGrowth,A121)*1000)*secondsPerBlock/2</f>
        <v>133.77568493150685</v>
      </c>
      <c r="F121" s="91">
        <f t="shared" si="21"/>
        <v>62.358636253646466</v>
      </c>
      <c r="G121" s="163">
        <f t="shared" si="22"/>
        <v>218.80223246893496</v>
      </c>
      <c r="J121" s="81"/>
    </row>
    <row r="122" spans="1:11" s="78" customFormat="1" x14ac:dyDescent="0.25">
      <c r="A122" s="78">
        <v>3</v>
      </c>
      <c r="B122" s="271">
        <f>memory10pf*POWER(1+memoryGrowth,A122)*ongoingResourceRatio10pf</f>
        <v>0.60834999999999984</v>
      </c>
      <c r="C122" s="78">
        <f t="shared" si="19"/>
        <v>24</v>
      </c>
      <c r="D122" s="99">
        <f t="shared" si="20"/>
        <v>512</v>
      </c>
      <c r="E122" s="253">
        <f>(avgBandwidth10pf*endGameEmergencyUsage*mbToGB*POWER(1+bandwidthGrowth,A122)*1000)*secondsPerBlock/2</f>
        <v>167.21960616438355</v>
      </c>
      <c r="F122" s="91">
        <f t="shared" si="21"/>
        <v>80.475494354693197</v>
      </c>
      <c r="G122" s="163">
        <f t="shared" si="22"/>
        <v>282.37015563050244</v>
      </c>
      <c r="J122" s="81"/>
    </row>
    <row r="123" spans="1:11" s="78" customFormat="1" x14ac:dyDescent="0.25">
      <c r="A123" s="78">
        <v>4</v>
      </c>
      <c r="B123" s="271">
        <f>memory10pf*POWER(1+memoryGrowth,A123)*ongoingResourceRatio10pf</f>
        <v>0.69960249999999979</v>
      </c>
      <c r="C123" s="78">
        <f t="shared" si="19"/>
        <v>24</v>
      </c>
      <c r="D123" s="99">
        <f t="shared" si="20"/>
        <v>512</v>
      </c>
      <c r="E123" s="253">
        <f>(avgBandwidth10pf*endGameEmergencyUsage*mbToGB*POWER(1+bandwidthGrowth,A123)*1000)*secondsPerBlock/2</f>
        <v>209.02450770547944</v>
      </c>
      <c r="F123" s="91">
        <f t="shared" si="21"/>
        <v>100.59436794336651</v>
      </c>
      <c r="G123" s="163">
        <f t="shared" si="22"/>
        <v>352.96269453812801</v>
      </c>
      <c r="J123" s="81"/>
    </row>
    <row r="124" spans="1:11" s="78" customFormat="1" x14ac:dyDescent="0.25">
      <c r="A124" s="78">
        <v>5</v>
      </c>
      <c r="B124" s="271">
        <f>memory10pf*POWER(1+memoryGrowth,A124)*ongoingResourceRatio10pf</f>
        <v>0.80454287499999977</v>
      </c>
      <c r="C124" s="78">
        <f t="shared" si="19"/>
        <v>24</v>
      </c>
      <c r="D124" s="99">
        <f t="shared" si="20"/>
        <v>512</v>
      </c>
      <c r="E124" s="253">
        <f>(avgBandwidth10pf*endGameEmergencyUsage*mbToGB*POWER(1+bandwidthGrowth,A124)*1000)*secondsPerBlock/2</f>
        <v>261.2806346318493</v>
      </c>
      <c r="F124" s="91">
        <f t="shared" si="21"/>
        <v>125.74295992920813</v>
      </c>
      <c r="G124" s="163">
        <f t="shared" si="22"/>
        <v>441.20336817266008</v>
      </c>
      <c r="J124" s="81"/>
    </row>
    <row r="125" spans="1:11" s="78" customFormat="1" x14ac:dyDescent="0.25">
      <c r="A125" s="78">
        <v>6</v>
      </c>
      <c r="B125" s="271">
        <f>memory10pf*POWER(1+memoryGrowth,A125)*ongoingResourceRatio10pf</f>
        <v>0.92522430624999963</v>
      </c>
      <c r="C125" s="78">
        <f t="shared" si="19"/>
        <v>24</v>
      </c>
      <c r="D125" s="99">
        <f t="shared" si="20"/>
        <v>512</v>
      </c>
      <c r="E125" s="253">
        <f>(avgBandwidth10pf*endGameEmergencyUsage*mbToGB*POWER(1+bandwidthGrowth,A125)*1000)*secondsPerBlock/2</f>
        <v>326.60079328981163</v>
      </c>
      <c r="F125" s="91">
        <f t="shared" si="21"/>
        <v>157.17869991151014</v>
      </c>
      <c r="G125" s="163">
        <f t="shared" si="22"/>
        <v>551.5042102158252</v>
      </c>
      <c r="J125" s="81"/>
    </row>
    <row r="126" spans="1:11" s="78" customFormat="1" x14ac:dyDescent="0.25">
      <c r="A126" s="78">
        <v>7</v>
      </c>
      <c r="B126" s="271">
        <f>memory10pf*POWER(1+memoryGrowth,A126)*ongoingResourceRatio10pf</f>
        <v>1.0640079521874994</v>
      </c>
      <c r="C126" s="78">
        <f t="shared" si="19"/>
        <v>24</v>
      </c>
      <c r="D126" s="99">
        <f t="shared" si="20"/>
        <v>512</v>
      </c>
      <c r="E126" s="253">
        <f>(avgBandwidth10pf*endGameEmergencyUsage*mbToGB*POWER(1+bandwidthGrowth,A126)*1000)*secondsPerBlock/2</f>
        <v>408.25099161226456</v>
      </c>
      <c r="F126" s="91">
        <f t="shared" si="21"/>
        <v>196.47337488938771</v>
      </c>
      <c r="G126" s="163">
        <f t="shared" si="22"/>
        <v>689.38026276978133</v>
      </c>
      <c r="J126" s="81"/>
    </row>
    <row r="127" spans="1:11" s="78" customFormat="1" x14ac:dyDescent="0.25">
      <c r="A127" s="78">
        <v>8</v>
      </c>
      <c r="B127" s="271">
        <f>memory10pf*POWER(1+memoryGrowth,A127)*ongoingResourceRatio10pf</f>
        <v>1.2236091450156241</v>
      </c>
      <c r="C127" s="78">
        <f t="shared" si="19"/>
        <v>25</v>
      </c>
      <c r="D127" s="99">
        <f t="shared" si="20"/>
        <v>480</v>
      </c>
      <c r="E127" s="253">
        <f>(avgBandwidth10pf*endGameEmergencyUsage*mbToGB*POWER(1+bandwidthGrowth,A127)*1000)*secondsPerBlock/2</f>
        <v>510.31373951533067</v>
      </c>
      <c r="F127" s="91">
        <f t="shared" si="21"/>
        <v>253.82096991600218</v>
      </c>
      <c r="G127" s="163">
        <f t="shared" si="22"/>
        <v>890.59989444211283</v>
      </c>
      <c r="J127" s="81"/>
    </row>
    <row r="128" spans="1:11" s="78" customFormat="1" x14ac:dyDescent="0.25">
      <c r="A128" s="78">
        <v>9</v>
      </c>
      <c r="B128" s="271">
        <f>memory10pf*POWER(1+memoryGrowth,A128)*ongoingResourceRatio10pf</f>
        <v>1.4071505167679677</v>
      </c>
      <c r="C128" s="78">
        <f t="shared" si="19"/>
        <v>25</v>
      </c>
      <c r="D128" s="99">
        <f t="shared" si="20"/>
        <v>480</v>
      </c>
      <c r="E128" s="253">
        <f>(avgBandwidth10pf*endGameEmergencyUsage*mbToGB*POWER(1+bandwidthGrowth,A128)*1000)*secondsPerBlock/2</f>
        <v>637.89217439416336</v>
      </c>
      <c r="F128" s="91">
        <f t="shared" si="21"/>
        <v>317.27621239500269</v>
      </c>
      <c r="G128" s="163">
        <f t="shared" si="22"/>
        <v>1113.2498680526412</v>
      </c>
      <c r="J128" s="81"/>
    </row>
    <row r="129" spans="1:10" s="78" customFormat="1" x14ac:dyDescent="0.25">
      <c r="A129" s="78">
        <v>10</v>
      </c>
      <c r="B129" s="271">
        <f>memory10pf*POWER(1+memoryGrowth,A129)*ongoingResourceRatio10pf</f>
        <v>1.6182230942831628</v>
      </c>
      <c r="C129" s="78">
        <f t="shared" si="19"/>
        <v>25</v>
      </c>
      <c r="D129" s="99">
        <f t="shared" si="20"/>
        <v>480</v>
      </c>
      <c r="E129" s="253">
        <f>(avgBandwidth10pf*endGameEmergencyUsage*mbToGB*POWER(1+bandwidthGrowth,A129)*1000)*secondsPerBlock/2</f>
        <v>797.36521799270417</v>
      </c>
      <c r="F129" s="91">
        <f t="shared" si="21"/>
        <v>396.5952654937534</v>
      </c>
      <c r="G129" s="163">
        <f t="shared" si="22"/>
        <v>1391.5623350658013</v>
      </c>
      <c r="J129" s="81"/>
    </row>
    <row r="130" spans="1:10" s="78" customFormat="1" x14ac:dyDescent="0.25">
      <c r="A130" s="78">
        <v>11</v>
      </c>
      <c r="B130" s="271">
        <f>memory10pf*POWER(1+memoryGrowth,A130)*ongoingResourceRatio10pf</f>
        <v>1.8609565584256371</v>
      </c>
      <c r="C130" s="78">
        <f t="shared" si="19"/>
        <v>25</v>
      </c>
      <c r="D130" s="99">
        <f t="shared" si="20"/>
        <v>480</v>
      </c>
      <c r="E130" s="253">
        <f>(avgBandwidth10pf*endGameEmergencyUsage*mbToGB*POWER(1+bandwidthGrowth,A130)*1000)*secondsPerBlock/2</f>
        <v>996.70652249088016</v>
      </c>
      <c r="F130" s="91">
        <f t="shared" si="21"/>
        <v>495.74408186719171</v>
      </c>
      <c r="G130" s="163">
        <f t="shared" si="22"/>
        <v>1739.4529188322517</v>
      </c>
      <c r="J130" s="81"/>
    </row>
    <row r="131" spans="1:10" s="78" customFormat="1" x14ac:dyDescent="0.25">
      <c r="A131" s="78">
        <v>12</v>
      </c>
      <c r="B131" s="271">
        <f>memory10pf*POWER(1+memoryGrowth,A131)*ongoingResourceRatio10pf</f>
        <v>2.140100042189482</v>
      </c>
      <c r="C131" s="78">
        <f t="shared" si="19"/>
        <v>25</v>
      </c>
      <c r="D131" s="99">
        <f t="shared" si="20"/>
        <v>480</v>
      </c>
      <c r="E131" s="253">
        <f>(avgBandwidth10pf*endGameEmergencyUsage*mbToGB*POWER(1+bandwidthGrowth,A131)*1000)*secondsPerBlock/2</f>
        <v>1245.8831531136002</v>
      </c>
      <c r="F131" s="91">
        <f t="shared" si="21"/>
        <v>619.68010233398968</v>
      </c>
      <c r="G131" s="163">
        <f t="shared" si="22"/>
        <v>2174.3161485403143</v>
      </c>
      <c r="J131" s="81"/>
    </row>
    <row r="132" spans="1:10" s="78" customFormat="1" x14ac:dyDescent="0.25">
      <c r="A132" s="78">
        <v>13</v>
      </c>
      <c r="B132" s="271">
        <f>memory10pf*POWER(1+memoryGrowth,A132)*ongoingResourceRatio10pf</f>
        <v>2.4611150485179047</v>
      </c>
      <c r="C132" s="78">
        <f t="shared" si="19"/>
        <v>26</v>
      </c>
      <c r="D132" s="99">
        <f t="shared" si="20"/>
        <v>448</v>
      </c>
      <c r="E132" s="253">
        <f>(avgBandwidth10pf*endGameEmergencyUsage*mbToGB*POWER(1+bandwidthGrowth,A132)*1000)*secondsPerBlock/2</f>
        <v>1557.3539413920003</v>
      </c>
      <c r="F132" s="91">
        <f t="shared" si="21"/>
        <v>801.45517027215612</v>
      </c>
      <c r="G132" s="163">
        <f t="shared" si="22"/>
        <v>2812.1234044637058</v>
      </c>
      <c r="J132" s="81"/>
    </row>
    <row r="133" spans="1:10" s="78" customFormat="1" x14ac:dyDescent="0.25">
      <c r="A133" s="78">
        <v>14</v>
      </c>
      <c r="B133" s="271">
        <f>memory10pf*POWER(1+memoryGrowth,A133)*ongoingResourceRatio10pf</f>
        <v>2.8302823057955901</v>
      </c>
      <c r="C133" s="78">
        <f t="shared" si="19"/>
        <v>26</v>
      </c>
      <c r="D133" s="99">
        <f t="shared" si="20"/>
        <v>448</v>
      </c>
      <c r="E133" s="253">
        <f>(avgBandwidth10pf*endGameEmergencyUsage*mbToGB*POWER(1+bandwidthGrowth,A133)*1000)*secondsPerBlock/2</f>
        <v>1946.6924267400004</v>
      </c>
      <c r="F133" s="91">
        <f t="shared" si="21"/>
        <v>1001.8189628401952</v>
      </c>
      <c r="G133" s="163">
        <f t="shared" si="22"/>
        <v>3515.1542555796327</v>
      </c>
      <c r="J133" s="81"/>
    </row>
    <row r="134" spans="1:10" s="78" customFormat="1" x14ac:dyDescent="0.25">
      <c r="A134" s="78">
        <v>15</v>
      </c>
      <c r="B134" s="271">
        <f>memory10pf*POWER(1+memoryGrowth,A134)*ongoingResourceRatio10pf</f>
        <v>3.254824651664928</v>
      </c>
      <c r="C134" s="78">
        <f t="shared" si="19"/>
        <v>26</v>
      </c>
      <c r="D134" s="99">
        <f t="shared" si="20"/>
        <v>448</v>
      </c>
      <c r="E134" s="253">
        <f>(avgBandwidth10pf*endGameEmergencyUsage*mbToGB*POWER(1+bandwidthGrowth,A134)*1000)*secondsPerBlock/2</f>
        <v>2433.3655334250011</v>
      </c>
      <c r="F134" s="91">
        <f t="shared" si="21"/>
        <v>1252.2737035502444</v>
      </c>
      <c r="G134" s="163">
        <f t="shared" si="22"/>
        <v>4393.9428194745415</v>
      </c>
      <c r="J134" s="81"/>
    </row>
    <row r="135" spans="1:10" s="78" customFormat="1" x14ac:dyDescent="0.25"/>
    <row r="136" spans="1:10" s="78" customFormat="1" x14ac:dyDescent="0.25">
      <c r="A136" s="83" t="s">
        <v>183</v>
      </c>
      <c r="E136" s="161"/>
      <c r="H136" s="161"/>
    </row>
    <row r="137" spans="1:10" s="78" customFormat="1" x14ac:dyDescent="0.25">
      <c r="A137" s="83"/>
      <c r="E137" s="161"/>
      <c r="G137" s="161" t="s">
        <v>178</v>
      </c>
      <c r="H137" s="161"/>
    </row>
    <row r="138" spans="1:10" s="78" customFormat="1" x14ac:dyDescent="0.25">
      <c r="B138" s="161" t="s">
        <v>175</v>
      </c>
      <c r="C138" s="161" t="s">
        <v>101</v>
      </c>
      <c r="D138" s="161" t="s">
        <v>96</v>
      </c>
      <c r="E138" s="161" t="s">
        <v>131</v>
      </c>
      <c r="F138" s="161" t="s">
        <v>28</v>
      </c>
      <c r="G138" s="161" t="s">
        <v>179</v>
      </c>
      <c r="H138" s="161"/>
    </row>
    <row r="139" spans="1:10" s="78" customFormat="1" x14ac:dyDescent="0.25">
      <c r="A139" s="162" t="s">
        <v>7</v>
      </c>
      <c r="B139" s="161" t="s">
        <v>107</v>
      </c>
      <c r="C139" s="161" t="s">
        <v>174</v>
      </c>
      <c r="D139" s="161" t="s">
        <v>97</v>
      </c>
      <c r="E139" s="161" t="s">
        <v>95</v>
      </c>
      <c r="F139" s="161" t="s">
        <v>16</v>
      </c>
      <c r="G139" s="161" t="s">
        <v>30</v>
      </c>
      <c r="H139" s="161"/>
    </row>
    <row r="140" spans="1:10" s="78" customFormat="1" x14ac:dyDescent="0.25">
      <c r="A140" s="78">
        <v>0</v>
      </c>
      <c r="B140" s="165">
        <f>memory10pf*POWER(1+memoryGrowth,A140)*ongoingResourceRatio10pf</f>
        <v>0.4</v>
      </c>
      <c r="C140" s="78">
        <f t="shared" ref="C140:C155" si="23">FLOOR(LOG(B140*1000*1000*1000/utreexoHashSize, 2),1)</f>
        <v>23</v>
      </c>
      <c r="D140" s="99">
        <f t="shared" ref="D140:D155" si="24">utreexoHashSize*(CEILING(LOG((endGameUsers*1000*1000*1000)*utxosPerUserEndGame, 2), 1)-C140)</f>
        <v>544</v>
      </c>
      <c r="E140" s="163">
        <f>(validationRate10pf*endGameEmergencyUsage*POWER(1+cpuGrowth,A140))</f>
        <v>750</v>
      </c>
      <c r="F140" s="91">
        <f t="shared" ref="F140:F155" si="25">E140*secondsPerBlock*(endGameTransactionSize+D140)/1000/1000</f>
        <v>458.55</v>
      </c>
      <c r="G140" s="91">
        <f t="shared" ref="G140:G155" si="26">F140*endGameTransactionSize/(endGameTransactionSize+D140)</f>
        <v>213.75</v>
      </c>
      <c r="H140" s="72"/>
    </row>
    <row r="141" spans="1:10" s="78" customFormat="1" x14ac:dyDescent="0.25">
      <c r="A141" s="78">
        <v>1</v>
      </c>
      <c r="B141" s="271">
        <f>memory10pf*POWER(1+memoryGrowth,A141)*ongoingResourceRatio10pf</f>
        <v>0.45999999999999996</v>
      </c>
      <c r="C141" s="78">
        <f t="shared" si="23"/>
        <v>23</v>
      </c>
      <c r="D141" s="99">
        <f t="shared" si="24"/>
        <v>544</v>
      </c>
      <c r="E141" s="270">
        <f>(validationRate10pf*endGameEmergencyUsage*POWER(1+cpuGrowth,A141))</f>
        <v>877.5</v>
      </c>
      <c r="F141" s="91">
        <f t="shared" si="25"/>
        <v>536.50350000000003</v>
      </c>
      <c r="G141" s="91">
        <f t="shared" si="26"/>
        <v>250.08750000000001</v>
      </c>
      <c r="H141" s="72"/>
    </row>
    <row r="142" spans="1:10" s="78" customFormat="1" x14ac:dyDescent="0.25">
      <c r="A142" s="78">
        <v>2</v>
      </c>
      <c r="B142" s="271">
        <f>memory10pf*POWER(1+memoryGrowth,A142)*ongoingResourceRatio10pf</f>
        <v>0.52899999999999991</v>
      </c>
      <c r="C142" s="78">
        <f t="shared" si="23"/>
        <v>23</v>
      </c>
      <c r="D142" s="99">
        <f t="shared" si="24"/>
        <v>544</v>
      </c>
      <c r="E142" s="270">
        <f>(validationRate10pf*endGameEmergencyUsage*POWER(1+cpuGrowth,A142))</f>
        <v>1026.6749999999997</v>
      </c>
      <c r="F142" s="91">
        <f t="shared" si="25"/>
        <v>627.70909499999982</v>
      </c>
      <c r="G142" s="91">
        <f t="shared" si="26"/>
        <v>292.60237499999994</v>
      </c>
      <c r="H142" s="72"/>
    </row>
    <row r="143" spans="1:10" s="78" customFormat="1" x14ac:dyDescent="0.25">
      <c r="A143" s="78">
        <v>3</v>
      </c>
      <c r="B143" s="271">
        <f>memory10pf*POWER(1+memoryGrowth,A143)*ongoingResourceRatio10pf</f>
        <v>0.60834999999999984</v>
      </c>
      <c r="C143" s="78">
        <f t="shared" si="23"/>
        <v>24</v>
      </c>
      <c r="D143" s="99">
        <f t="shared" si="24"/>
        <v>512</v>
      </c>
      <c r="E143" s="270">
        <f>(validationRate10pf*endGameEmergencyUsage*POWER(1+cpuGrowth,A143))</f>
        <v>1201.2097499999998</v>
      </c>
      <c r="F143" s="91">
        <f t="shared" si="25"/>
        <v>711.35641394999982</v>
      </c>
      <c r="G143" s="91">
        <f t="shared" si="26"/>
        <v>342.34477874999993</v>
      </c>
      <c r="H143" s="72"/>
    </row>
    <row r="144" spans="1:10" s="78" customFormat="1" x14ac:dyDescent="0.25">
      <c r="A144" s="78">
        <v>4</v>
      </c>
      <c r="B144" s="271">
        <f>memory10pf*POWER(1+memoryGrowth,A144)*ongoingResourceRatio10pf</f>
        <v>0.69960249999999979</v>
      </c>
      <c r="C144" s="78">
        <f t="shared" si="23"/>
        <v>24</v>
      </c>
      <c r="D144" s="99">
        <f t="shared" si="24"/>
        <v>512</v>
      </c>
      <c r="E144" s="270">
        <f>(validationRate10pf*endGameEmergencyUsage*POWER(1+cpuGrowth,A144))</f>
        <v>1405.4154074999997</v>
      </c>
      <c r="F144" s="91">
        <f t="shared" si="25"/>
        <v>832.28700432149981</v>
      </c>
      <c r="G144" s="91">
        <f t="shared" si="26"/>
        <v>400.5433911374999</v>
      </c>
      <c r="H144" s="72"/>
    </row>
    <row r="145" spans="1:10" s="78" customFormat="1" x14ac:dyDescent="0.25">
      <c r="A145" s="78">
        <v>5</v>
      </c>
      <c r="B145" s="271">
        <f>memory10pf*POWER(1+memoryGrowth,A145)*ongoingResourceRatio10pf</f>
        <v>0.80454287499999977</v>
      </c>
      <c r="C145" s="78">
        <f t="shared" si="23"/>
        <v>24</v>
      </c>
      <c r="D145" s="99">
        <f t="shared" si="24"/>
        <v>512</v>
      </c>
      <c r="E145" s="270">
        <f>(validationRate10pf*endGameEmergencyUsage*POWER(1+cpuGrowth,A145))</f>
        <v>1644.3360267749993</v>
      </c>
      <c r="F145" s="91">
        <f t="shared" si="25"/>
        <v>973.77579505615461</v>
      </c>
      <c r="G145" s="91">
        <f t="shared" si="26"/>
        <v>468.6357676308748</v>
      </c>
      <c r="H145" s="72"/>
    </row>
    <row r="146" spans="1:10" s="78" customFormat="1" x14ac:dyDescent="0.25">
      <c r="A146" s="78">
        <v>6</v>
      </c>
      <c r="B146" s="271">
        <f>memory10pf*POWER(1+memoryGrowth,A146)*ongoingResourceRatio10pf</f>
        <v>0.92522430624999963</v>
      </c>
      <c r="C146" s="78">
        <f t="shared" si="23"/>
        <v>24</v>
      </c>
      <c r="D146" s="99">
        <f t="shared" si="24"/>
        <v>512</v>
      </c>
      <c r="E146" s="270">
        <f>(validationRate10pf*endGameEmergencyUsage*POWER(1+cpuGrowth,A146))</f>
        <v>1923.8731513267494</v>
      </c>
      <c r="F146" s="91">
        <f t="shared" si="25"/>
        <v>1139.3176802157011</v>
      </c>
      <c r="G146" s="91">
        <f t="shared" si="26"/>
        <v>548.3038481281236</v>
      </c>
      <c r="H146" s="72"/>
    </row>
    <row r="147" spans="1:10" s="78" customFormat="1" x14ac:dyDescent="0.25">
      <c r="A147" s="78">
        <v>7</v>
      </c>
      <c r="B147" s="271">
        <f>memory10pf*POWER(1+memoryGrowth,A147)*ongoingResourceRatio10pf</f>
        <v>1.0640079521874994</v>
      </c>
      <c r="C147" s="78">
        <f t="shared" si="23"/>
        <v>24</v>
      </c>
      <c r="D147" s="99">
        <f t="shared" si="24"/>
        <v>512</v>
      </c>
      <c r="E147" s="270">
        <f>(validationRate10pf*endGameEmergencyUsage*POWER(1+cpuGrowth,A147))</f>
        <v>2250.9315870522964</v>
      </c>
      <c r="F147" s="91">
        <f t="shared" si="25"/>
        <v>1333.00168585237</v>
      </c>
      <c r="G147" s="91">
        <f t="shared" si="26"/>
        <v>641.51550230990449</v>
      </c>
      <c r="H147" s="72"/>
    </row>
    <row r="148" spans="1:10" s="78" customFormat="1" x14ac:dyDescent="0.25">
      <c r="A148" s="78">
        <v>8</v>
      </c>
      <c r="B148" s="271">
        <f>memory10pf*POWER(1+memoryGrowth,A148)*ongoingResourceRatio10pf</f>
        <v>1.2236091450156241</v>
      </c>
      <c r="C148" s="78">
        <f t="shared" si="23"/>
        <v>25</v>
      </c>
      <c r="D148" s="99">
        <f t="shared" si="24"/>
        <v>480</v>
      </c>
      <c r="E148" s="270">
        <f>(validationRate10pf*endGameEmergencyUsage*POWER(1+cpuGrowth,A148))</f>
        <v>2633.5899568511863</v>
      </c>
      <c r="F148" s="91">
        <f t="shared" si="25"/>
        <v>1509.0470452757299</v>
      </c>
      <c r="G148" s="91">
        <f t="shared" si="26"/>
        <v>750.57313770258816</v>
      </c>
      <c r="H148" s="72"/>
    </row>
    <row r="149" spans="1:10" s="78" customFormat="1" x14ac:dyDescent="0.25">
      <c r="A149" s="78">
        <v>9</v>
      </c>
      <c r="B149" s="271">
        <f>memory10pf*POWER(1+memoryGrowth,A149)*ongoingResourceRatio10pf</f>
        <v>1.4071505167679677</v>
      </c>
      <c r="C149" s="78">
        <f t="shared" si="23"/>
        <v>25</v>
      </c>
      <c r="D149" s="99">
        <f t="shared" si="24"/>
        <v>480</v>
      </c>
      <c r="E149" s="270">
        <f>(validationRate10pf*endGameEmergencyUsage*POWER(1+cpuGrowth,A149))</f>
        <v>3081.3002495158876</v>
      </c>
      <c r="F149" s="91">
        <f t="shared" si="25"/>
        <v>1765.5850429726036</v>
      </c>
      <c r="G149" s="91">
        <f t="shared" si="26"/>
        <v>878.17057111202803</v>
      </c>
    </row>
    <row r="150" spans="1:10" s="78" customFormat="1" x14ac:dyDescent="0.25">
      <c r="A150" s="78">
        <v>10</v>
      </c>
      <c r="B150" s="271">
        <f>memory10pf*POWER(1+memoryGrowth,A150)*ongoingResourceRatio10pf</f>
        <v>1.6182230942831628</v>
      </c>
      <c r="C150" s="78">
        <f t="shared" si="23"/>
        <v>25</v>
      </c>
      <c r="D150" s="99">
        <f t="shared" si="24"/>
        <v>480</v>
      </c>
      <c r="E150" s="270">
        <f>(validationRate10pf*endGameEmergencyUsage*POWER(1+cpuGrowth,A150))</f>
        <v>3605.121291933589</v>
      </c>
      <c r="F150" s="91">
        <f t="shared" si="25"/>
        <v>2065.7345002779466</v>
      </c>
      <c r="G150" s="91">
        <f t="shared" si="26"/>
        <v>1027.4595682010729</v>
      </c>
    </row>
    <row r="151" spans="1:10" s="78" customFormat="1" x14ac:dyDescent="0.25">
      <c r="A151" s="78">
        <v>11</v>
      </c>
      <c r="B151" s="271">
        <f>memory10pf*POWER(1+memoryGrowth,A151)*ongoingResourceRatio10pf</f>
        <v>1.8609565584256371</v>
      </c>
      <c r="C151" s="78">
        <f t="shared" si="23"/>
        <v>25</v>
      </c>
      <c r="D151" s="99">
        <f t="shared" si="24"/>
        <v>480</v>
      </c>
      <c r="E151" s="270">
        <f>(validationRate10pf*endGameEmergencyUsage*POWER(1+cpuGrowth,A151))</f>
        <v>4217.9919115622988</v>
      </c>
      <c r="F151" s="91">
        <f t="shared" si="25"/>
        <v>2416.9093653251971</v>
      </c>
      <c r="G151" s="91">
        <f t="shared" si="26"/>
        <v>1202.1276947952551</v>
      </c>
    </row>
    <row r="152" spans="1:10" s="78" customFormat="1" x14ac:dyDescent="0.25">
      <c r="A152" s="78">
        <v>12</v>
      </c>
      <c r="B152" s="271">
        <f>memory10pf*POWER(1+memoryGrowth,A152)*ongoingResourceRatio10pf</f>
        <v>2.140100042189482</v>
      </c>
      <c r="C152" s="78">
        <f t="shared" si="23"/>
        <v>25</v>
      </c>
      <c r="D152" s="99">
        <f t="shared" si="24"/>
        <v>480</v>
      </c>
      <c r="E152" s="270">
        <f>(validationRate10pf*endGameEmergencyUsage*POWER(1+cpuGrowth,A152))</f>
        <v>4935.0505365278887</v>
      </c>
      <c r="F152" s="91">
        <f t="shared" si="25"/>
        <v>2827.7839574304803</v>
      </c>
      <c r="G152" s="91">
        <f t="shared" si="26"/>
        <v>1406.4894029104482</v>
      </c>
      <c r="H152" s="72"/>
    </row>
    <row r="153" spans="1:10" s="78" customFormat="1" x14ac:dyDescent="0.25">
      <c r="A153" s="78">
        <v>13</v>
      </c>
      <c r="B153" s="271">
        <f>memory10pf*POWER(1+memoryGrowth,A153)*ongoingResourceRatio10pf</f>
        <v>2.4611150485179047</v>
      </c>
      <c r="C153" s="78">
        <f t="shared" si="23"/>
        <v>26</v>
      </c>
      <c r="D153" s="99">
        <f t="shared" si="24"/>
        <v>448</v>
      </c>
      <c r="E153" s="270">
        <f>(validationRate10pf*endGameEmergencyUsage*POWER(1+cpuGrowth,A153))</f>
        <v>5774.0091277376296</v>
      </c>
      <c r="F153" s="91">
        <f t="shared" si="25"/>
        <v>3197.6462549410999</v>
      </c>
      <c r="G153" s="91">
        <f t="shared" si="26"/>
        <v>1645.5926014052247</v>
      </c>
      <c r="H153" s="72"/>
    </row>
    <row r="154" spans="1:10" s="78" customFormat="1" x14ac:dyDescent="0.25">
      <c r="A154" s="78">
        <v>14</v>
      </c>
      <c r="B154" s="271">
        <f>memory10pf*POWER(1+memoryGrowth,A154)*ongoingResourceRatio10pf</f>
        <v>2.8302823057955901</v>
      </c>
      <c r="C154" s="78">
        <f t="shared" si="23"/>
        <v>26</v>
      </c>
      <c r="D154" s="99">
        <f t="shared" si="24"/>
        <v>448</v>
      </c>
      <c r="E154" s="270">
        <f>(validationRate10pf*endGameEmergencyUsage*POWER(1+cpuGrowth,A154))</f>
        <v>6755.5906794530265</v>
      </c>
      <c r="F154" s="91">
        <f t="shared" si="25"/>
        <v>3741.2461182810862</v>
      </c>
      <c r="G154" s="91">
        <f t="shared" si="26"/>
        <v>1925.3433436441126</v>
      </c>
      <c r="H154" s="72"/>
    </row>
    <row r="155" spans="1:10" s="78" customFormat="1" x14ac:dyDescent="0.25">
      <c r="A155" s="78">
        <v>15</v>
      </c>
      <c r="B155" s="271">
        <f>memory10pf*POWER(1+memoryGrowth,A155)*ongoingResourceRatio10pf</f>
        <v>3.254824651664928</v>
      </c>
      <c r="C155" s="78">
        <f t="shared" si="23"/>
        <v>26</v>
      </c>
      <c r="D155" s="99">
        <f t="shared" si="24"/>
        <v>448</v>
      </c>
      <c r="E155" s="270">
        <f>(validationRate10pf*endGameEmergencyUsage*POWER(1+cpuGrowth,A155))</f>
        <v>7904.04109496004</v>
      </c>
      <c r="F155" s="91">
        <f t="shared" si="25"/>
        <v>4377.257958388871</v>
      </c>
      <c r="G155" s="91">
        <f t="shared" si="26"/>
        <v>2252.6517120636117</v>
      </c>
      <c r="H155" s="72"/>
    </row>
    <row r="156" spans="1:10" s="78" customFormat="1" x14ac:dyDescent="0.25"/>
    <row r="157" spans="1:10" s="78" customFormat="1" x14ac:dyDescent="0.25">
      <c r="A157" s="9" t="s">
        <v>248</v>
      </c>
    </row>
    <row r="158" spans="1:10" s="78" customFormat="1" x14ac:dyDescent="0.25">
      <c r="A158" s="83"/>
      <c r="I158" s="86"/>
      <c r="J158" s="86"/>
    </row>
    <row r="159" spans="1:10" s="78" customFormat="1" x14ac:dyDescent="0.25">
      <c r="A159" s="80" t="s">
        <v>6</v>
      </c>
      <c r="B159" s="285" t="s">
        <v>75</v>
      </c>
      <c r="C159" s="86"/>
      <c r="D159" s="86"/>
      <c r="E159" s="86"/>
      <c r="F159" s="86"/>
      <c r="H159" s="86"/>
      <c r="I159" s="86"/>
      <c r="J159" s="86"/>
    </row>
    <row r="160" spans="1:10" s="78" customFormat="1" x14ac:dyDescent="0.25"/>
    <row r="161" spans="1:11" s="78" customFormat="1" x14ac:dyDescent="0.25">
      <c r="A161" s="232" t="s">
        <v>191</v>
      </c>
      <c r="B161" s="232"/>
      <c r="C161" s="232"/>
      <c r="D161" s="232"/>
      <c r="E161" s="232"/>
      <c r="G161" s="232" t="s">
        <v>172</v>
      </c>
      <c r="H161" s="232"/>
      <c r="I161" s="232"/>
      <c r="J161" s="232"/>
      <c r="K161" s="232"/>
    </row>
    <row r="162" spans="1:11" s="78" customFormat="1" x14ac:dyDescent="0.25">
      <c r="A162" s="135"/>
      <c r="B162" s="135"/>
      <c r="C162" s="135"/>
      <c r="D162" s="173" t="s">
        <v>178</v>
      </c>
      <c r="G162" s="135"/>
      <c r="H162" s="135"/>
      <c r="I162" s="135"/>
      <c r="J162" s="173" t="s">
        <v>178</v>
      </c>
    </row>
    <row r="163" spans="1:11" s="78" customFormat="1" x14ac:dyDescent="0.25">
      <c r="B163" s="173" t="s">
        <v>184</v>
      </c>
      <c r="C163" s="173" t="s">
        <v>131</v>
      </c>
      <c r="D163" s="173" t="s">
        <v>179</v>
      </c>
      <c r="E163" s="173" t="s">
        <v>28</v>
      </c>
      <c r="H163" s="173" t="s">
        <v>184</v>
      </c>
      <c r="I163" s="173" t="s">
        <v>131</v>
      </c>
      <c r="J163" s="173" t="s">
        <v>179</v>
      </c>
      <c r="K163" s="173" t="s">
        <v>28</v>
      </c>
    </row>
    <row r="164" spans="1:11" s="78" customFormat="1" x14ac:dyDescent="0.25">
      <c r="A164" s="174" t="s">
        <v>7</v>
      </c>
      <c r="B164" s="173" t="s">
        <v>189</v>
      </c>
      <c r="C164" s="173" t="s">
        <v>30</v>
      </c>
      <c r="D164" s="173" t="s">
        <v>30</v>
      </c>
      <c r="E164" s="173" t="s">
        <v>65</v>
      </c>
      <c r="G164" s="174" t="s">
        <v>7</v>
      </c>
      <c r="H164" s="173" t="s">
        <v>185</v>
      </c>
      <c r="I164" s="173" t="s">
        <v>30</v>
      </c>
      <c r="J164" s="173" t="s">
        <v>30</v>
      </c>
      <c r="K164" s="173" t="s">
        <v>65</v>
      </c>
    </row>
    <row r="165" spans="1:11" s="78" customFormat="1" x14ac:dyDescent="0.25">
      <c r="A165" s="78">
        <v>0</v>
      </c>
      <c r="B165" s="34">
        <f>avgBandwidth90pf*ongoingResourceRatio90pf*mbToGB*1000*POWER(1+bandwidthGrowth,A165)*secondsPerBlock</f>
        <v>4.5662100456621009E-2</v>
      </c>
      <c r="C165" s="91">
        <f>D165/(avgTrSize/(avgTrSize+D140))</f>
        <v>13.060962909556999</v>
      </c>
      <c r="D165" s="91">
        <f>B165/neutrinoFilterRatio</f>
        <v>6.0882800608828012</v>
      </c>
      <c r="E165" s="72">
        <f t="shared" ref="E165:E180" si="27">D165*1000*1000/secondsPerBlock/avgTrSize</f>
        <v>21.362386178536145</v>
      </c>
      <c r="G165" s="78">
        <v>0</v>
      </c>
      <c r="H165" s="34">
        <f>avgSyncBandwidth90pf*ongoingResourceRatio90pf*mbToGB*1000*POWER(1+bandwidthGrowth,G165)*secondsPerYear*recentSyncTime90pf/365</f>
        <v>197.2602739726027</v>
      </c>
      <c r="I165" s="50">
        <f>J165/(avgTrSize/(avgTrSize+D140))</f>
        <v>1.8658518442224279</v>
      </c>
      <c r="J165" s="50">
        <f t="shared" ref="J165:J180" si="28">secondsPerBlock*H165/(secondsPerYear*assumevalidBlockTime/365)/neutrinoFilterRatio</f>
        <v>0.8697542944118285</v>
      </c>
      <c r="K165" s="183">
        <f t="shared" ref="K165:K180" si="29">J165*1000*1000/secondsPerBlock/avgTrSize</f>
        <v>3.0517694540765916</v>
      </c>
    </row>
    <row r="166" spans="1:11" s="78" customFormat="1" x14ac:dyDescent="0.25">
      <c r="A166" s="78">
        <v>1</v>
      </c>
      <c r="B166" s="252">
        <f>avgBandwidth90pf*ongoingResourceRatio90pf*mbToGB*1000*POWER(1+bandwidthGrowth,A166)*secondsPerBlock</f>
        <v>5.7077625570776259E-2</v>
      </c>
      <c r="C166" s="91">
        <f>D166/(avgTrSize/(avgTrSize+D141))</f>
        <v>16.32620363694625</v>
      </c>
      <c r="D166" s="91">
        <f t="shared" ref="D166:D180" si="30">B166/neutrinoFilterRatio</f>
        <v>7.6103500761035017</v>
      </c>
      <c r="E166" s="72">
        <f t="shared" si="27"/>
        <v>26.70298272317018</v>
      </c>
      <c r="G166" s="78">
        <v>1</v>
      </c>
      <c r="H166" s="252">
        <f>avgSyncBandwidth90pf*ongoingResourceRatio90pf*mbToGB*1000*POWER(1+bandwidthGrowth,G166)*secondsPerYear*recentSyncTime90pf/365</f>
        <v>246.57534246575344</v>
      </c>
      <c r="I166" s="50">
        <f>J166/(avgTrSize/(avgTrSize+D141))</f>
        <v>2.3323148052780356</v>
      </c>
      <c r="J166" s="50">
        <f t="shared" si="28"/>
        <v>1.087192868014786</v>
      </c>
      <c r="K166" s="183">
        <f t="shared" si="29"/>
        <v>3.81471181759574</v>
      </c>
    </row>
    <row r="167" spans="1:11" s="78" customFormat="1" x14ac:dyDescent="0.25">
      <c r="A167" s="78">
        <v>2</v>
      </c>
      <c r="B167" s="252">
        <f>avgBandwidth90pf*ongoingResourceRatio90pf*mbToGB*1000*POWER(1+bandwidthGrowth,A167)*secondsPerBlock</f>
        <v>7.1347031963470323E-2</v>
      </c>
      <c r="C167" s="91">
        <f>D167/(avgTrSize/(avgTrSize+D142))</f>
        <v>20.407754546182808</v>
      </c>
      <c r="D167" s="91">
        <f t="shared" si="30"/>
        <v>9.512937595129376</v>
      </c>
      <c r="E167" s="72">
        <f t="shared" si="27"/>
        <v>33.378728403962725</v>
      </c>
      <c r="G167" s="78">
        <v>2</v>
      </c>
      <c r="H167" s="252">
        <f>avgSyncBandwidth90pf*ongoingResourceRatio90pf*mbToGB*1000*POWER(1+bandwidthGrowth,G167)*secondsPerYear*recentSyncTime90pf/365</f>
        <v>308.21917808219177</v>
      </c>
      <c r="I167" s="50">
        <f>J167/(avgTrSize/(avgTrSize+D142))</f>
        <v>2.9153935065975447</v>
      </c>
      <c r="J167" s="50">
        <f t="shared" si="28"/>
        <v>1.3589910850184825</v>
      </c>
      <c r="K167" s="183">
        <f t="shared" si="29"/>
        <v>4.7683897719946753</v>
      </c>
    </row>
    <row r="168" spans="1:11" s="78" customFormat="1" x14ac:dyDescent="0.25">
      <c r="A168" s="78">
        <v>3</v>
      </c>
      <c r="B168" s="252">
        <f>avgBandwidth90pf*ongoingResourceRatio90pf*mbToGB*1000*POWER(1+bandwidthGrowth,A168)*secondsPerBlock</f>
        <v>8.9183789954337914E-2</v>
      </c>
      <c r="C168" s="91">
        <f>D168/(avgTrSize/(avgTrSize+D143))</f>
        <v>24.708603701033411</v>
      </c>
      <c r="D168" s="91">
        <f t="shared" si="30"/>
        <v>11.891171993911723</v>
      </c>
      <c r="E168" s="72">
        <f t="shared" si="27"/>
        <v>41.723410504953414</v>
      </c>
      <c r="G168" s="78">
        <v>3</v>
      </c>
      <c r="H168" s="252">
        <f>avgSyncBandwidth90pf*ongoingResourceRatio90pf*mbToGB*1000*POWER(1+bandwidthGrowth,G168)*secondsPerYear*recentSyncTime90pf/365</f>
        <v>385.27397260273972</v>
      </c>
      <c r="I168" s="50">
        <f>J168/(avgTrSize/(avgTrSize+D143))</f>
        <v>3.5298005287190577</v>
      </c>
      <c r="J168" s="50">
        <f t="shared" si="28"/>
        <v>1.6987388562731027</v>
      </c>
      <c r="K168" s="183">
        <f t="shared" si="29"/>
        <v>5.9604872149933428</v>
      </c>
    </row>
    <row r="169" spans="1:11" s="78" customFormat="1" x14ac:dyDescent="0.25">
      <c r="A169" s="78">
        <v>4</v>
      </c>
      <c r="B169" s="252">
        <f>avgBandwidth90pf*ongoingResourceRatio90pf*mbToGB*1000*POWER(1+bandwidthGrowth,A169)*secondsPerBlock</f>
        <v>0.11147973744292239</v>
      </c>
      <c r="C169" s="91">
        <f>D169/(avgTrSize/(avgTrSize+D144))</f>
        <v>30.88575462629176</v>
      </c>
      <c r="D169" s="91">
        <f t="shared" si="30"/>
        <v>14.863964992389652</v>
      </c>
      <c r="E169" s="72">
        <f t="shared" si="27"/>
        <v>52.154263131191762</v>
      </c>
      <c r="G169" s="78">
        <v>4</v>
      </c>
      <c r="H169" s="252">
        <f>avgSyncBandwidth90pf*ongoingResourceRatio90pf*mbToGB*1000*POWER(1+bandwidthGrowth,G169)*secondsPerYear*recentSyncTime90pf/365</f>
        <v>481.59246575342468</v>
      </c>
      <c r="I169" s="50">
        <f>J169/(avgTrSize/(avgTrSize+D144))</f>
        <v>4.412250660898823</v>
      </c>
      <c r="J169" s="50">
        <f t="shared" si="28"/>
        <v>2.1234235703413789</v>
      </c>
      <c r="K169" s="183">
        <f t="shared" si="29"/>
        <v>7.4506090187416811</v>
      </c>
    </row>
    <row r="170" spans="1:11" s="78" customFormat="1" x14ac:dyDescent="0.25">
      <c r="A170" s="78">
        <v>5</v>
      </c>
      <c r="B170" s="252">
        <f>avgBandwidth90pf*ongoingResourceRatio90pf*mbToGB*1000*POWER(1+bandwidthGrowth,A170)*secondsPerBlock</f>
        <v>0.13934967180365299</v>
      </c>
      <c r="C170" s="91">
        <f>D170/(avgTrSize/(avgTrSize+D145))</f>
        <v>38.607193282864699</v>
      </c>
      <c r="D170" s="91">
        <f t="shared" si="30"/>
        <v>18.579956240487064</v>
      </c>
      <c r="E170" s="72">
        <f t="shared" si="27"/>
        <v>65.192828913989686</v>
      </c>
      <c r="G170" s="78">
        <v>5</v>
      </c>
      <c r="H170" s="252">
        <f>avgSyncBandwidth90pf*ongoingResourceRatio90pf*mbToGB*1000*POWER(1+bandwidthGrowth,G170)*secondsPerYear*recentSyncTime90pf/365</f>
        <v>601.99058219178085</v>
      </c>
      <c r="I170" s="50">
        <f>J170/(avgTrSize/(avgTrSize+D145))</f>
        <v>5.5153133261235281</v>
      </c>
      <c r="J170" s="50">
        <f t="shared" si="28"/>
        <v>2.6542794629267235</v>
      </c>
      <c r="K170" s="183">
        <f t="shared" si="29"/>
        <v>9.3132612734270985</v>
      </c>
    </row>
    <row r="171" spans="1:11" s="78" customFormat="1" x14ac:dyDescent="0.25">
      <c r="A171" s="78">
        <v>6</v>
      </c>
      <c r="B171" s="252">
        <f>avgBandwidth90pf*ongoingResourceRatio90pf*mbToGB*1000*POWER(1+bandwidthGrowth,A171)*secondsPerBlock</f>
        <v>0.1741870897545662</v>
      </c>
      <c r="C171" s="91">
        <f>D171/(avgTrSize/(avgTrSize+D146))</f>
        <v>48.258991603580867</v>
      </c>
      <c r="D171" s="91">
        <f t="shared" si="30"/>
        <v>23.224945300608827</v>
      </c>
      <c r="E171" s="72">
        <f t="shared" si="27"/>
        <v>81.491036142487104</v>
      </c>
      <c r="G171" s="78">
        <v>6</v>
      </c>
      <c r="H171" s="252">
        <f>avgSyncBandwidth90pf*ongoingResourceRatio90pf*mbToGB*1000*POWER(1+bandwidthGrowth,G171)*secondsPerYear*recentSyncTime90pf/365</f>
        <v>752.48822773972597</v>
      </c>
      <c r="I171" s="50">
        <f>J171/(avgTrSize/(avgTrSize+D146))</f>
        <v>6.8941416576544094</v>
      </c>
      <c r="J171" s="50">
        <f t="shared" si="28"/>
        <v>3.3178493286584039</v>
      </c>
      <c r="K171" s="183">
        <f t="shared" si="29"/>
        <v>11.641576591783874</v>
      </c>
    </row>
    <row r="172" spans="1:11" s="78" customFormat="1" x14ac:dyDescent="0.25">
      <c r="A172" s="78">
        <v>7</v>
      </c>
      <c r="B172" s="252">
        <f>avgBandwidth90pf*ongoingResourceRatio90pf*mbToGB*1000*POWER(1+bandwidthGrowth,A172)*secondsPerBlock</f>
        <v>0.21773386219320778</v>
      </c>
      <c r="C172" s="91">
        <f>D172/(avgTrSize/(avgTrSize+D147))</f>
        <v>60.323739504476094</v>
      </c>
      <c r="D172" s="91">
        <f t="shared" si="30"/>
        <v>29.03118162576104</v>
      </c>
      <c r="E172" s="72">
        <f t="shared" si="27"/>
        <v>101.86379517810892</v>
      </c>
      <c r="G172" s="78">
        <v>7</v>
      </c>
      <c r="H172" s="252">
        <f>avgSyncBandwidth90pf*ongoingResourceRatio90pf*mbToGB*1000*POWER(1+bandwidthGrowth,G172)*secondsPerYear*recentSyncTime90pf/365</f>
        <v>940.61028467465758</v>
      </c>
      <c r="I172" s="50">
        <f>J172/(avgTrSize/(avgTrSize+D147))</f>
        <v>8.6176770720680125</v>
      </c>
      <c r="J172" s="50">
        <f t="shared" si="28"/>
        <v>4.1473116608230054</v>
      </c>
      <c r="K172" s="183">
        <f t="shared" si="29"/>
        <v>14.551970739729844</v>
      </c>
    </row>
    <row r="173" spans="1:11" s="78" customFormat="1" x14ac:dyDescent="0.25">
      <c r="A173" s="78">
        <v>8</v>
      </c>
      <c r="B173" s="252">
        <f>avgBandwidth90pf*ongoingResourceRatio90pf*mbToGB*1000*POWER(1+bandwidthGrowth,A173)*secondsPerBlock</f>
        <v>0.2721673277415097</v>
      </c>
      <c r="C173" s="91">
        <f>D173/(avgTrSize/(avgTrSize+D148))</f>
        <v>72.959943296320489</v>
      </c>
      <c r="D173" s="91">
        <f t="shared" si="30"/>
        <v>36.288977032201295</v>
      </c>
      <c r="E173" s="72">
        <f t="shared" si="27"/>
        <v>127.32974397263611</v>
      </c>
      <c r="G173" s="78">
        <v>8</v>
      </c>
      <c r="H173" s="252">
        <f>avgSyncBandwidth90pf*ongoingResourceRatio90pf*mbToGB*1000*POWER(1+bandwidthGrowth,G173)*secondsPerYear*recentSyncTime90pf/365</f>
        <v>1175.7628558433219</v>
      </c>
      <c r="I173" s="50">
        <f>J173/(avgTrSize/(avgTrSize+D148))</f>
        <v>10.422849042331499</v>
      </c>
      <c r="J173" s="50">
        <f t="shared" si="28"/>
        <v>5.1841395760287563</v>
      </c>
      <c r="K173" s="183">
        <f t="shared" si="29"/>
        <v>18.189963424662299</v>
      </c>
    </row>
    <row r="174" spans="1:11" s="78" customFormat="1" x14ac:dyDescent="0.25">
      <c r="A174" s="78">
        <v>9</v>
      </c>
      <c r="B174" s="252">
        <f>avgBandwidth90pf*ongoingResourceRatio90pf*mbToGB*1000*POWER(1+bandwidthGrowth,A174)*secondsPerBlock</f>
        <v>0.34020915967688714</v>
      </c>
      <c r="C174" s="91">
        <f>D174/(avgTrSize/(avgTrSize+D149))</f>
        <v>91.199929120400625</v>
      </c>
      <c r="D174" s="91">
        <f t="shared" si="30"/>
        <v>45.361221290251621</v>
      </c>
      <c r="E174" s="72">
        <f t="shared" si="27"/>
        <v>159.16217996579516</v>
      </c>
      <c r="G174" s="78">
        <v>9</v>
      </c>
      <c r="H174" s="252">
        <f>avgSyncBandwidth90pf*ongoingResourceRatio90pf*mbToGB*1000*POWER(1+bandwidthGrowth,G174)*secondsPerYear*recentSyncTime90pf/365</f>
        <v>1469.7035698041525</v>
      </c>
      <c r="I174" s="50">
        <f>J174/(avgTrSize/(avgTrSize+D149))</f>
        <v>13.028561302914374</v>
      </c>
      <c r="J174" s="50">
        <f t="shared" si="28"/>
        <v>6.480174470035946</v>
      </c>
      <c r="K174" s="183">
        <f t="shared" si="29"/>
        <v>22.737454280827883</v>
      </c>
    </row>
    <row r="175" spans="1:11" s="78" customFormat="1" x14ac:dyDescent="0.25">
      <c r="A175" s="78">
        <v>10</v>
      </c>
      <c r="B175" s="252">
        <f>avgBandwidth90pf*ongoingResourceRatio90pf*mbToGB*1000*POWER(1+bandwidthGrowth,A175)*secondsPerBlock</f>
        <v>0.42526144959610895</v>
      </c>
      <c r="C175" s="91">
        <f>D175/(avgTrSize/(avgTrSize+D150))</f>
        <v>113.99991140050079</v>
      </c>
      <c r="D175" s="91">
        <f t="shared" si="30"/>
        <v>56.701526612814533</v>
      </c>
      <c r="E175" s="72">
        <f t="shared" si="27"/>
        <v>198.95272495724396</v>
      </c>
      <c r="G175" s="78">
        <v>10</v>
      </c>
      <c r="H175" s="252">
        <f>avgSyncBandwidth90pf*ongoingResourceRatio90pf*mbToGB*1000*POWER(1+bandwidthGrowth,G175)*secondsPerYear*recentSyncTime90pf/365</f>
        <v>1837.1294622551904</v>
      </c>
      <c r="I175" s="50">
        <f>J175/(avgTrSize/(avgTrSize+D150))</f>
        <v>16.285701628642968</v>
      </c>
      <c r="J175" s="50">
        <f t="shared" si="28"/>
        <v>8.100218087544933</v>
      </c>
      <c r="K175" s="183">
        <f t="shared" si="29"/>
        <v>28.421817851034852</v>
      </c>
    </row>
    <row r="176" spans="1:11" s="78" customFormat="1" x14ac:dyDescent="0.25">
      <c r="A176" s="78">
        <v>11</v>
      </c>
      <c r="B176" s="252">
        <f>avgBandwidth90pf*ongoingResourceRatio90pf*mbToGB*1000*POWER(1+bandwidthGrowth,A176)*secondsPerBlock</f>
        <v>0.53157681199513618</v>
      </c>
      <c r="C176" s="91">
        <f>D176/(avgTrSize/(avgTrSize+D151))</f>
        <v>142.49988925062598</v>
      </c>
      <c r="D176" s="91">
        <f t="shared" si="30"/>
        <v>70.876908266018162</v>
      </c>
      <c r="E176" s="72">
        <f t="shared" si="27"/>
        <v>248.69090619655492</v>
      </c>
      <c r="G176" s="78">
        <v>11</v>
      </c>
      <c r="H176" s="252">
        <f>avgSyncBandwidth90pf*ongoingResourceRatio90pf*mbToGB*1000*POWER(1+bandwidthGrowth,G176)*secondsPerYear*recentSyncTime90pf/365</f>
        <v>2296.4118278189881</v>
      </c>
      <c r="I176" s="50">
        <f>J176/(avgTrSize/(avgTrSize+D151))</f>
        <v>20.35712703580371</v>
      </c>
      <c r="J176" s="50">
        <f t="shared" si="28"/>
        <v>10.125272609431166</v>
      </c>
      <c r="K176" s="183">
        <f t="shared" si="29"/>
        <v>35.527272313793567</v>
      </c>
    </row>
    <row r="177" spans="1:11" s="78" customFormat="1" x14ac:dyDescent="0.25">
      <c r="A177" s="78">
        <v>12</v>
      </c>
      <c r="B177" s="252">
        <f>avgBandwidth90pf*ongoingResourceRatio90pf*mbToGB*1000*POWER(1+bandwidthGrowth,A177)*secondsPerBlock</f>
        <v>0.66447101499392025</v>
      </c>
      <c r="C177" s="91">
        <f>D177/(avgTrSize/(avgTrSize+D152))</f>
        <v>178.12486156328248</v>
      </c>
      <c r="D177" s="91">
        <f t="shared" si="30"/>
        <v>88.596135332522707</v>
      </c>
      <c r="E177" s="72">
        <f t="shared" si="27"/>
        <v>310.86363274569374</v>
      </c>
      <c r="G177" s="78">
        <v>12</v>
      </c>
      <c r="H177" s="252">
        <f>avgSyncBandwidth90pf*ongoingResourceRatio90pf*mbToGB*1000*POWER(1+bandwidthGrowth,G177)*secondsPerYear*recentSyncTime90pf/365</f>
        <v>2870.5147847737353</v>
      </c>
      <c r="I177" s="50">
        <f>J177/(avgTrSize/(avgTrSize+D152))</f>
        <v>25.446408794754639</v>
      </c>
      <c r="J177" s="50">
        <f t="shared" si="28"/>
        <v>12.656590761788957</v>
      </c>
      <c r="K177" s="183">
        <f t="shared" si="29"/>
        <v>44.409090392241957</v>
      </c>
    </row>
    <row r="178" spans="1:11" s="78" customFormat="1" x14ac:dyDescent="0.25">
      <c r="A178" s="78">
        <v>13</v>
      </c>
      <c r="B178" s="252">
        <f>avgBandwidth90pf*ongoingResourceRatio90pf*mbToGB*1000*POWER(1+bandwidthGrowth,A178)*secondsPerBlock</f>
        <v>0.83058876874240029</v>
      </c>
      <c r="C178" s="91">
        <f>D178/(avgTrSize/(avgTrSize+D153))</f>
        <v>215.19534976820646</v>
      </c>
      <c r="D178" s="91">
        <f t="shared" si="30"/>
        <v>110.74516916565338</v>
      </c>
      <c r="E178" s="72">
        <f t="shared" si="27"/>
        <v>388.57954093211708</v>
      </c>
      <c r="G178" s="78">
        <v>13</v>
      </c>
      <c r="H178" s="252">
        <f>avgSyncBandwidth90pf*ongoingResourceRatio90pf*mbToGB*1000*POWER(1+bandwidthGrowth,G178)*secondsPerYear*recentSyncTime90pf/365</f>
        <v>3588.1434809671691</v>
      </c>
      <c r="I178" s="50">
        <f>J178/(avgTrSize/(avgTrSize+D153))</f>
        <v>30.742192824029487</v>
      </c>
      <c r="J178" s="50">
        <f t="shared" si="28"/>
        <v>15.820738452236196</v>
      </c>
      <c r="K178" s="183">
        <f t="shared" si="29"/>
        <v>55.511362990302445</v>
      </c>
    </row>
    <row r="179" spans="1:11" s="78" customFormat="1" x14ac:dyDescent="0.25">
      <c r="A179" s="78">
        <v>14</v>
      </c>
      <c r="B179" s="252">
        <f>avgBandwidth90pf*ongoingResourceRatio90pf*mbToGB*1000*POWER(1+bandwidthGrowth,A179)*secondsPerBlock</f>
        <v>1.0382359609280003</v>
      </c>
      <c r="C179" s="91">
        <f>D179/(avgTrSize/(avgTrSize+D154))</f>
        <v>268.99418721025802</v>
      </c>
      <c r="D179" s="91">
        <f t="shared" si="30"/>
        <v>138.43146145706672</v>
      </c>
      <c r="E179" s="72">
        <f t="shared" si="27"/>
        <v>485.72442616514633</v>
      </c>
      <c r="G179" s="78">
        <v>14</v>
      </c>
      <c r="H179" s="252">
        <f>avgSyncBandwidth90pf*ongoingResourceRatio90pf*mbToGB*1000*POWER(1+bandwidthGrowth,G179)*secondsPerYear*recentSyncTime90pf/365</f>
        <v>4485.1793512089607</v>
      </c>
      <c r="I179" s="50">
        <f>J179/(avgTrSize/(avgTrSize+D154))</f>
        <v>38.427741030036849</v>
      </c>
      <c r="J179" s="50">
        <f t="shared" si="28"/>
        <v>19.775923065295238</v>
      </c>
      <c r="K179" s="183">
        <f t="shared" si="29"/>
        <v>69.389203737878034</v>
      </c>
    </row>
    <row r="180" spans="1:11" s="78" customFormat="1" x14ac:dyDescent="0.25">
      <c r="A180" s="78">
        <v>15</v>
      </c>
      <c r="B180" s="252">
        <f>avgBandwidth90pf*ongoingResourceRatio90pf*mbToGB*1000*POWER(1+bandwidthGrowth,A180)*secondsPerBlock</f>
        <v>1.2977949511600004</v>
      </c>
      <c r="C180" s="91">
        <f>D180/(avgTrSize/(avgTrSize+D155))</f>
        <v>336.24273401282255</v>
      </c>
      <c r="D180" s="91">
        <f t="shared" si="30"/>
        <v>173.03932682133339</v>
      </c>
      <c r="E180" s="72">
        <f t="shared" si="27"/>
        <v>607.15553270643295</v>
      </c>
      <c r="G180" s="78">
        <v>15</v>
      </c>
      <c r="H180" s="252">
        <f>avgSyncBandwidth90pf*ongoingResourceRatio90pf*mbToGB*1000*POWER(1+bandwidthGrowth,G180)*secondsPerYear*recentSyncTime90pf/365</f>
        <v>5606.4741890112009</v>
      </c>
      <c r="I180" s="50">
        <f>J180/(avgTrSize/(avgTrSize+D155))</f>
        <v>48.034676287546063</v>
      </c>
      <c r="J180" s="50">
        <f t="shared" si="28"/>
        <v>24.71990383161905</v>
      </c>
      <c r="K180" s="183">
        <f t="shared" si="29"/>
        <v>86.736504672347536</v>
      </c>
    </row>
    <row r="181" spans="1:11" s="78" customFormat="1" x14ac:dyDescent="0.25"/>
    <row r="182" spans="1:11" s="78" customFormat="1" x14ac:dyDescent="0.25">
      <c r="A182" s="9" t="s">
        <v>158</v>
      </c>
      <c r="B182" s="31"/>
      <c r="C182" s="7"/>
      <c r="D182" s="75"/>
      <c r="E182" s="31"/>
    </row>
    <row r="183" spans="1:11" s="78" customFormat="1" x14ac:dyDescent="0.25">
      <c r="A183" s="9"/>
      <c r="I183" s="86"/>
      <c r="J183" s="86"/>
    </row>
    <row r="184" spans="1:11" s="78" customFormat="1" x14ac:dyDescent="0.25">
      <c r="A184" s="80" t="s">
        <v>121</v>
      </c>
      <c r="B184" s="78" t="s">
        <v>281</v>
      </c>
      <c r="C184" s="86"/>
      <c r="D184" s="86"/>
      <c r="E184" s="86"/>
      <c r="F184" s="86"/>
      <c r="H184" s="86"/>
      <c r="I184" s="86"/>
      <c r="J184" s="86"/>
    </row>
    <row r="185" spans="1:11" s="78" customFormat="1" x14ac:dyDescent="0.25">
      <c r="B185" s="31"/>
      <c r="C185" s="7"/>
      <c r="D185" s="75"/>
      <c r="E185" s="31"/>
    </row>
    <row r="186" spans="1:11" s="78" customFormat="1" x14ac:dyDescent="0.25">
      <c r="A186"/>
      <c r="C186" s="169" t="s">
        <v>153</v>
      </c>
      <c r="E186" s="142" t="s">
        <v>126</v>
      </c>
      <c r="F186" s="142" t="s">
        <v>168</v>
      </c>
      <c r="G186"/>
      <c r="J186" s="142" t="s">
        <v>124</v>
      </c>
      <c r="K186" s="169" t="s">
        <v>124</v>
      </c>
    </row>
    <row r="187" spans="1:11" s="78" customFormat="1" x14ac:dyDescent="0.25">
      <c r="B187" s="142" t="s">
        <v>160</v>
      </c>
      <c r="C187" s="169" t="s">
        <v>187</v>
      </c>
      <c r="D187" s="142" t="s">
        <v>130</v>
      </c>
      <c r="E187" s="142" t="s">
        <v>128</v>
      </c>
      <c r="F187" s="142" t="s">
        <v>169</v>
      </c>
      <c r="G187" s="142" t="s">
        <v>152</v>
      </c>
      <c r="H187" s="142" t="s">
        <v>171</v>
      </c>
      <c r="I187" s="142" t="s">
        <v>124</v>
      </c>
      <c r="J187" s="142" t="s">
        <v>161</v>
      </c>
      <c r="K187" s="169" t="s">
        <v>161</v>
      </c>
    </row>
    <row r="188" spans="1:11" s="78" customFormat="1" x14ac:dyDescent="0.25">
      <c r="B188" s="142" t="s">
        <v>98</v>
      </c>
      <c r="C188" s="169" t="s">
        <v>188</v>
      </c>
      <c r="D188" s="142" t="s">
        <v>44</v>
      </c>
      <c r="E188" s="142" t="s">
        <v>129</v>
      </c>
      <c r="F188" s="142" t="s">
        <v>170</v>
      </c>
      <c r="G188" s="107" t="s">
        <v>153</v>
      </c>
      <c r="H188" s="142" t="s">
        <v>54</v>
      </c>
      <c r="I188" s="142" t="s">
        <v>127</v>
      </c>
      <c r="J188" s="142" t="s">
        <v>1</v>
      </c>
      <c r="K188" s="169" t="s">
        <v>186</v>
      </c>
    </row>
    <row r="189" spans="1:11" s="78" customFormat="1" x14ac:dyDescent="0.25">
      <c r="B189" s="156">
        <v>8</v>
      </c>
      <c r="C189" s="84">
        <v>0.9</v>
      </c>
      <c r="D189" s="109">
        <v>0.25</v>
      </c>
      <c r="E189" s="112">
        <v>1E-3</v>
      </c>
      <c r="F189" s="85">
        <v>0.5</v>
      </c>
      <c r="G189" s="109">
        <f>16/(16+futureUsers*0.001*1000)</f>
        <v>0.66666666666666663</v>
      </c>
      <c r="H189" s="143">
        <f>(1-sybilPercentb)*(outgoingConnections10pf+publicNodeConnections10pf)</f>
        <v>51.333333333333336</v>
      </c>
      <c r="I189" s="144">
        <f>LOG(futureUsers*percentSPVNodes*1000*1000*1000)/MAX(0,LOG(H189/2))</f>
        <v>6.9941436245700599</v>
      </c>
      <c r="J189" s="110">
        <f>avgBandwidth10pf</f>
        <v>3.0441400304414001</v>
      </c>
      <c r="K189" s="105">
        <f>validationRate10pf</f>
        <v>1000</v>
      </c>
    </row>
    <row r="190" spans="1:11" s="78" customFormat="1" x14ac:dyDescent="0.25">
      <c r="C190" s="7"/>
      <c r="D190" s="75"/>
      <c r="E190" s="31"/>
    </row>
    <row r="191" spans="1:11" s="78" customFormat="1" x14ac:dyDescent="0.25">
      <c r="B191" s="107" t="s">
        <v>142</v>
      </c>
      <c r="D191" s="142" t="s">
        <v>131</v>
      </c>
      <c r="E191" s="142" t="s">
        <v>131</v>
      </c>
      <c r="G191" s="161" t="s">
        <v>178</v>
      </c>
      <c r="I191" s="75"/>
      <c r="J191" s="31"/>
      <c r="K191" s="86" t="s">
        <v>143</v>
      </c>
    </row>
    <row r="192" spans="1:11" s="78" customFormat="1" x14ac:dyDescent="0.25">
      <c r="B192" s="142" t="s">
        <v>143</v>
      </c>
      <c r="C192" s="107" t="s">
        <v>132</v>
      </c>
      <c r="D192" s="142" t="s">
        <v>30</v>
      </c>
      <c r="E192" s="142" t="s">
        <v>30</v>
      </c>
      <c r="F192" s="142" t="s">
        <v>131</v>
      </c>
      <c r="G192" s="161" t="s">
        <v>179</v>
      </c>
      <c r="H192" s="142" t="s">
        <v>28</v>
      </c>
      <c r="I192" s="107" t="s">
        <v>132</v>
      </c>
      <c r="J192" s="107" t="s">
        <v>132</v>
      </c>
      <c r="K192" s="86" t="s">
        <v>167</v>
      </c>
    </row>
    <row r="193" spans="1:11" s="78" customFormat="1" x14ac:dyDescent="0.25">
      <c r="A193" s="141" t="s">
        <v>7</v>
      </c>
      <c r="B193" s="142" t="s">
        <v>144</v>
      </c>
      <c r="C193" s="142" t="s">
        <v>135</v>
      </c>
      <c r="D193" s="142" t="s">
        <v>162</v>
      </c>
      <c r="E193" s="142" t="s">
        <v>163</v>
      </c>
      <c r="F193" s="142" t="s">
        <v>30</v>
      </c>
      <c r="G193" s="161" t="s">
        <v>30</v>
      </c>
      <c r="H193" s="142" t="s">
        <v>65</v>
      </c>
      <c r="I193" s="142" t="s">
        <v>134</v>
      </c>
      <c r="J193" s="142" t="s">
        <v>133</v>
      </c>
      <c r="K193" s="158" t="s">
        <v>166</v>
      </c>
    </row>
    <row r="194" spans="1:11" s="78" customFormat="1" x14ac:dyDescent="0.25">
      <c r="A194" s="78">
        <v>0</v>
      </c>
      <c r="B194" s="113">
        <f t="shared" ref="B194:B209" si="31">secondsPerBlock*maximumMinerAdvantage2/targetMinerPercentHashpower2</f>
        <v>2.4</v>
      </c>
      <c r="C194" s="151">
        <f>(((avgHops20-1)*minLastMileLatency) + ((avgHops20-1)*proximityFavoringFactor2*(latency1pf-minLastMileLatency)+(latency10pf-minLastMileLatency))*(1-(1-POWER(1+latencyGrowth,A194))))/1000</f>
        <v>0.42969254028992815</v>
      </c>
      <c r="D194" s="91">
        <f>(B194 - C194)*(avgLowRelayBandwidth*ongoingResourceRatio10pf*POWER(1+bandwidthGrowth,A194)*mbToGB*1000)/(compactBlockCompactedness+missingTransactionRate)</f>
        <v>3.9459814541978524</v>
      </c>
      <c r="E194" s="91">
        <f>(B194 - C194)*(avgTrSize+D140)*(avgLowRelayVerification*ongoingResourceRatio10pf*POWER(1+cpuGrowth,A194))/missingTransactionRate/1000/1000</f>
        <v>20.077433014445631</v>
      </c>
      <c r="F194" s="91">
        <f>MIN(D194,E194)</f>
        <v>3.9459814541978524</v>
      </c>
      <c r="G194" s="91">
        <f>F194*endGameTransactionSize/(endGameTransactionSize+D140)</f>
        <v>1.8393927288949754</v>
      </c>
      <c r="H194" s="6">
        <f>G194*1000*1000/secondsPerBlock/avgTrSize</f>
        <v>6.4540095750700885</v>
      </c>
      <c r="I194" s="115">
        <f>F194*(missingTransactionRate+compactBlockCompactedness)/(avgLowRelayBandwidth*ongoingResourceRatio10pf*POWER(1+bandwidthGrowth,A194)*mbToGB*1000)</f>
        <v>1.9703074597100718</v>
      </c>
      <c r="J194" s="116">
        <f>(G194*missingTransactionRate*1000*1000/avgTrSize)/(avgLowRelayVerification*ongoingResourceRatio10pf*POWER(1+cpuGrowth,A194))</f>
        <v>0.3872405745042054</v>
      </c>
      <c r="K194" s="159">
        <f t="shared" ref="K194:K208" si="32">MAX(I194,J194)+C194</f>
        <v>2.4</v>
      </c>
    </row>
    <row r="195" spans="1:11" s="78" customFormat="1" x14ac:dyDescent="0.25">
      <c r="A195" s="78">
        <v>1</v>
      </c>
      <c r="B195" s="113">
        <f t="shared" si="31"/>
        <v>2.4</v>
      </c>
      <c r="C195" s="269">
        <f>(((avgHops20-1)*minLastMileLatency) + ((avgHops20-1)*proximityFavoringFactor2*(latency1pf-minLastMileLatency)+(latency10pf-minLastMileLatency))*(1-(1-POWER(1+latencyGrowth,A195))))/1000</f>
        <v>0.41949912871228684</v>
      </c>
      <c r="D195" s="253">
        <f>(B195 - C195)*(avgLowRelayBandwidth*ongoingResourceRatio10pf*POWER(1+bandwidthGrowth,A195)*mbToGB*1000)/(compactBlockCompactedness+missingTransactionRate)</f>
        <v>4.9579950514893083</v>
      </c>
      <c r="E195" s="253">
        <f>(B195 - C195)*(avgTrSize+D141)*(avgLowRelayVerification*ongoingResourceRatio10pf*POWER(1+cpuGrowth,A195))/missingTransactionRate/1000/1000</f>
        <v>23.612125537753503</v>
      </c>
      <c r="F195" s="91">
        <f t="shared" ref="F195:F209" si="33">MIN(D195,E195)</f>
        <v>4.9579950514893083</v>
      </c>
      <c r="G195" s="91">
        <f>F195*endGameTransactionSize/(endGameTransactionSize+D141)</f>
        <v>2.3111360642369201</v>
      </c>
      <c r="H195" s="6">
        <f t="shared" ref="H195:H209" si="34">G195*1000*1000/secondsPerBlock/avgTrSize</f>
        <v>8.1092493481997181</v>
      </c>
      <c r="I195" s="265">
        <f>F195*(missingTransactionRate+compactBlockCompactedness)/(avgLowRelayBandwidth*ongoingResourceRatio10pf*POWER(1+bandwidthGrowth,A195)*mbToGB*1000)</f>
        <v>1.980500871287713</v>
      </c>
      <c r="J195" s="266">
        <f>(G195*missingTransactionRate*1000*1000/avgTrSize)/(avgLowRelayVerification*ongoingResourceRatio10pf*POWER(1+cpuGrowth,A195))</f>
        <v>0.41585894093331893</v>
      </c>
      <c r="K195" s="159">
        <f t="shared" si="32"/>
        <v>2.4</v>
      </c>
    </row>
    <row r="196" spans="1:11" s="78" customFormat="1" x14ac:dyDescent="0.25">
      <c r="A196" s="78">
        <v>2</v>
      </c>
      <c r="B196" s="113">
        <f t="shared" si="31"/>
        <v>2.4</v>
      </c>
      <c r="C196" s="269">
        <f>(((avgHops20-1)*minLastMileLatency) + ((avgHops20-1)*proximityFavoringFactor2*(latency1pf-minLastMileLatency)+(latency10pf-minLastMileLatency))*(1-(1-POWER(1+latencyGrowth,A196))))/1000</f>
        <v>0.40961151948197477</v>
      </c>
      <c r="D196" s="253">
        <f>(B196 - C196)*(avgLowRelayBandwidth*ongoingResourceRatio10pf*POWER(1+bandwidthGrowth,A196)*mbToGB*1000)/(compactBlockCompactedness+missingTransactionRate)</f>
        <v>6.2284346727738011</v>
      </c>
      <c r="E196" s="253">
        <f>(B196 - C196)*(avgTrSize+D142)*(avgLowRelayVerification*ongoingResourceRatio10pf*POWER(1+cpuGrowth,A196))/missingTransactionRate/1000/1000</f>
        <v>27.764110040097663</v>
      </c>
      <c r="F196" s="91">
        <f t="shared" si="33"/>
        <v>6.2284346727738011</v>
      </c>
      <c r="G196" s="91">
        <f>F196*endGameTransactionSize/(endGameTransactionSize+D142)</f>
        <v>2.9033429534519684</v>
      </c>
      <c r="H196" s="6">
        <f t="shared" si="34"/>
        <v>10.187168257726205</v>
      </c>
      <c r="I196" s="265">
        <f>F196*(missingTransactionRate+compactBlockCompactedness)/(avgLowRelayBandwidth*ongoingResourceRatio10pf*POWER(1+bandwidthGrowth,A196)*mbToGB*1000)</f>
        <v>1.990388480518025</v>
      </c>
      <c r="J196" s="266">
        <f>(G196*missingTransactionRate*1000*1000/avgTrSize)/(avgLowRelayVerification*ongoingResourceRatio10pf*POWER(1+cpuGrowth,A196))</f>
        <v>0.4465118675312823</v>
      </c>
      <c r="K196" s="159">
        <f t="shared" si="32"/>
        <v>2.4</v>
      </c>
    </row>
    <row r="197" spans="1:11" s="78" customFormat="1" x14ac:dyDescent="0.25">
      <c r="A197" s="78">
        <v>3</v>
      </c>
      <c r="B197" s="113">
        <f t="shared" si="31"/>
        <v>2.4</v>
      </c>
      <c r="C197" s="269">
        <f>(((avgHops20-1)*minLastMileLatency) + ((avgHops20-1)*proximityFavoringFactor2*(latency1pf-minLastMileLatency)+(latency10pf-minLastMileLatency))*(1-(1-POWER(1+latencyGrowth,A197))))/1000</f>
        <v>0.40002053852857206</v>
      </c>
      <c r="D197" s="253">
        <f>(B197 - C197)*(avgLowRelayBandwidth*ongoingResourceRatio10pf*POWER(1+bandwidthGrowth,A197)*mbToGB*1000)/(compactBlockCompactedness+missingTransactionRate)</f>
        <v>7.823059131792002</v>
      </c>
      <c r="E197" s="253">
        <f>(B197 - C197)*(avgTrSize+D143)*(avgLowRelayVerification*ongoingResourceRatio10pf*POWER(1+cpuGrowth,A197))/missingTransactionRate/1000/1000</f>
        <v>31.615515948577041</v>
      </c>
      <c r="F197" s="91">
        <f t="shared" si="33"/>
        <v>7.823059131792002</v>
      </c>
      <c r="G197" s="91">
        <f>F197*endGameTransactionSize/(endGameTransactionSize+D143)</f>
        <v>3.7648967452899704</v>
      </c>
      <c r="H197" s="6">
        <f t="shared" si="34"/>
        <v>13.210164018561299</v>
      </c>
      <c r="I197" s="265">
        <f>F197*(missingTransactionRate+compactBlockCompactedness)/(avgLowRelayBandwidth*ongoingResourceRatio10pf*POWER(1+bandwidthGrowth,A197)*mbToGB*1000)</f>
        <v>1.9999794614714277</v>
      </c>
      <c r="J197" s="266">
        <f>(G197*missingTransactionRate*1000*1000/avgTrSize)/(avgLowRelayVerification*ongoingResourceRatio10pf*POWER(1+cpuGrowth,A197))</f>
        <v>0.49488224753025739</v>
      </c>
      <c r="K197" s="159">
        <f t="shared" si="32"/>
        <v>2.4</v>
      </c>
    </row>
    <row r="198" spans="1:11" s="78" customFormat="1" x14ac:dyDescent="0.25">
      <c r="A198" s="78">
        <v>4</v>
      </c>
      <c r="B198" s="113">
        <f t="shared" si="31"/>
        <v>2.4</v>
      </c>
      <c r="C198" s="269">
        <f>(((avgHops20-1)*minLastMileLatency) + ((avgHops20-1)*proximityFavoringFactor2*(latency1pf-minLastMileLatency)+(latency10pf-minLastMileLatency))*(1-(1-POWER(1+latencyGrowth,A198))))/1000</f>
        <v>0.3907172870037714</v>
      </c>
      <c r="D198" s="253">
        <f>(B198 - C198)*(avgLowRelayBandwidth*ongoingResourceRatio10pf*POWER(1+bandwidthGrowth,A198)*mbToGB*1000)/(compactBlockCompactedness+missingTransactionRate)</f>
        <v>9.8243118111150132</v>
      </c>
      <c r="E198" s="253">
        <f>(B198 - C198)*(avgTrSize+D144)*(avgLowRelayVerification*ongoingResourceRatio10pf*POWER(1+cpuGrowth,A198))/missingTransactionRate/1000/1000</f>
        <v>37.162219778546813</v>
      </c>
      <c r="F198" s="91">
        <f t="shared" si="33"/>
        <v>9.8243118111150132</v>
      </c>
      <c r="G198" s="91">
        <f>F198*endGameTransactionSize/(endGameTransactionSize+D144)</f>
        <v>4.7280122697868601</v>
      </c>
      <c r="H198" s="6">
        <f t="shared" si="34"/>
        <v>16.589516736094247</v>
      </c>
      <c r="I198" s="265">
        <f>F198*(missingTransactionRate+compactBlockCompactedness)/(avgLowRelayBandwidth*ongoingResourceRatio10pf*POWER(1+bandwidthGrowth,A198)*mbToGB*1000)</f>
        <v>2.0092827129962285</v>
      </c>
      <c r="J198" s="266">
        <f>(G198*missingTransactionRate*1000*1000/avgTrSize)/(avgLowRelayVerification*ongoingResourceRatio10pf*POWER(1+cpuGrowth,A198))</f>
        <v>0.53117978438288982</v>
      </c>
      <c r="K198" s="159">
        <f t="shared" si="32"/>
        <v>2.4</v>
      </c>
    </row>
    <row r="199" spans="1:11" s="78" customFormat="1" x14ac:dyDescent="0.25">
      <c r="A199" s="78">
        <v>5</v>
      </c>
      <c r="B199" s="113">
        <f t="shared" si="31"/>
        <v>2.4</v>
      </c>
      <c r="C199" s="269">
        <f>(((avgHops20-1)*minLastMileLatency) + ((avgHops20-1)*proximityFavoringFactor2*(latency1pf-minLastMileLatency)+(latency10pf-minLastMileLatency))*(1-(1-POWER(1+latencyGrowth,A199))))/1000</f>
        <v>0.38169313302471475</v>
      </c>
      <c r="D199" s="253">
        <f>(B199 - C199)*(avgLowRelayBandwidth*ongoingResourceRatio10pf*POWER(1+bandwidthGrowth,A199)*mbToGB*1000)/(compactBlockCompactedness+missingTransactionRate)</f>
        <v>12.335543838248469</v>
      </c>
      <c r="E199" s="253">
        <f>(B199 - C199)*(avgTrSize+D145)*(avgLowRelayVerification*ongoingResourceRatio10pf*POWER(1+cpuGrowth,A199))/missingTransactionRate/1000/1000</f>
        <v>43.675074979025659</v>
      </c>
      <c r="F199" s="91">
        <f t="shared" si="33"/>
        <v>12.335543838248469</v>
      </c>
      <c r="G199" s="91">
        <f>F199*endGameTransactionSize/(endGameTransactionSize+D145)</f>
        <v>5.9365585847700331</v>
      </c>
      <c r="H199" s="6">
        <f t="shared" si="34"/>
        <v>20.830030122000117</v>
      </c>
      <c r="I199" s="265">
        <f>F199*(missingTransactionRate+compactBlockCompactedness)/(avgLowRelayBandwidth*ongoingResourceRatio10pf*POWER(1+bandwidthGrowth,A199)*mbToGB*1000)</f>
        <v>2.0183068669752853</v>
      </c>
      <c r="J199" s="266">
        <f>(G199*missingTransactionRate*1000*1000/avgTrSize)/(avgLowRelayVerification*ongoingResourceRatio10pf*POWER(1+cpuGrowth,A199))</f>
        <v>0.57004854252838588</v>
      </c>
      <c r="K199" s="159">
        <f t="shared" si="32"/>
        <v>2.4</v>
      </c>
    </row>
    <row r="200" spans="1:11" s="78" customFormat="1" x14ac:dyDescent="0.25">
      <c r="A200" s="78">
        <v>6</v>
      </c>
      <c r="B200" s="113">
        <f t="shared" si="31"/>
        <v>2.4</v>
      </c>
      <c r="C200" s="269">
        <f>(((avgHops20-1)*minLastMileLatency) + ((avgHops20-1)*proximityFavoringFactor2*(latency1pf-minLastMileLatency)+(latency10pf-minLastMileLatency))*(1-(1-POWER(1+latencyGrowth,A200))))/1000</f>
        <v>0.37293970366502988</v>
      </c>
      <c r="D200" s="253">
        <f>(B200 - C200)*(avgLowRelayBandwidth*ongoingResourceRatio10pf*POWER(1+bandwidthGrowth,A200)*mbToGB*1000)/(compactBlockCompactedness+missingTransactionRate)</f>
        <v>15.486304112965659</v>
      </c>
      <c r="E200" s="253">
        <f>(B200 - C200)*(avgTrSize+D146)*(avgLowRelayVerification*ongoingResourceRatio10pf*POWER(1+cpuGrowth,A200))/missingTransactionRate/1000/1000</f>
        <v>51.321458543949092</v>
      </c>
      <c r="F200" s="91">
        <f t="shared" si="33"/>
        <v>15.486304112965659</v>
      </c>
      <c r="G200" s="91">
        <f>F200*endGameTransactionSize/(endGameTransactionSize+D146)</f>
        <v>7.4528819186004949</v>
      </c>
      <c r="H200" s="6">
        <f t="shared" si="34"/>
        <v>26.150462872282439</v>
      </c>
      <c r="I200" s="265">
        <f>F200*(missingTransactionRate+compactBlockCompactedness)/(avgLowRelayBandwidth*ongoingResourceRatio10pf*POWER(1+bandwidthGrowth,A200)*mbToGB*1000)</f>
        <v>2.02706029633497</v>
      </c>
      <c r="J200" s="266">
        <f>(G200*missingTransactionRate*1000*1000/avgTrSize)/(avgLowRelayVerification*ongoingResourceRatio10pf*POWER(1+cpuGrowth,A200))</f>
        <v>0.61166757716909781</v>
      </c>
      <c r="K200" s="159">
        <f t="shared" si="32"/>
        <v>2.4</v>
      </c>
    </row>
    <row r="201" spans="1:11" s="78" customFormat="1" x14ac:dyDescent="0.25">
      <c r="A201" s="78">
        <v>7</v>
      </c>
      <c r="B201" s="113">
        <f t="shared" si="31"/>
        <v>2.4</v>
      </c>
      <c r="C201" s="269">
        <f>(((avgHops20-1)*minLastMileLatency) + ((avgHops20-1)*proximityFavoringFactor2*(latency1pf-minLastMileLatency)+(latency10pf-minLastMileLatency))*(1-(1-POWER(1+latencyGrowth,A201))))/1000</f>
        <v>0.36444887718613544</v>
      </c>
      <c r="D201" s="253">
        <f>(B201 - C201)*(avgLowRelayBandwidth*ongoingResourceRatio10pf*POWER(1+bandwidthGrowth,A201)*mbToGB*1000)/(compactBlockCompactedness+missingTransactionRate)</f>
        <v>19.4389652483326</v>
      </c>
      <c r="E201" s="253">
        <f>(B201 - C201)*(avgTrSize+D147)*(avgLowRelayVerification*ongoingResourceRatio10pf*POWER(1+cpuGrowth,A201))/missingTransactionRate/1000/1000</f>
        <v>60.297623963323673</v>
      </c>
      <c r="F201" s="91">
        <f t="shared" si="33"/>
        <v>19.4389652483326</v>
      </c>
      <c r="G201" s="91">
        <f>F201*endGameTransactionSize/(endGameTransactionSize+D147)</f>
        <v>9.3551251195116354</v>
      </c>
      <c r="H201" s="6">
        <f t="shared" si="34"/>
        <v>32.825000419339069</v>
      </c>
      <c r="I201" s="265">
        <f>F201*(missingTransactionRate+compactBlockCompactedness)/(avgLowRelayBandwidth*ongoingResourceRatio10pf*POWER(1+bandwidthGrowth,A201)*mbToGB*1000)</f>
        <v>2.0355511228138647</v>
      </c>
      <c r="J201" s="266">
        <f>(G201*missingTransactionRate*1000*1000/avgTrSize)/(avgLowRelayVerification*ongoingResourceRatio10pf*POWER(1+cpuGrowth,A201))</f>
        <v>0.65622830447931324</v>
      </c>
      <c r="K201" s="159">
        <f t="shared" si="32"/>
        <v>2.4000000000000004</v>
      </c>
    </row>
    <row r="202" spans="1:11" s="78" customFormat="1" x14ac:dyDescent="0.25">
      <c r="A202" s="78">
        <v>8</v>
      </c>
      <c r="B202" s="113">
        <f t="shared" si="31"/>
        <v>2.4</v>
      </c>
      <c r="C202" s="269">
        <f>(((avgHops20-1)*minLastMileLatency) + ((avgHops20-1)*proximityFavoringFactor2*(latency1pf-minLastMileLatency)+(latency10pf-minLastMileLatency))*(1-(1-POWER(1+latencyGrowth,A202))))/1000</f>
        <v>0.35621277550160796</v>
      </c>
      <c r="D202" s="253">
        <f>(B202 - C202)*(avgLowRelayBandwidth*ongoingResourceRatio10pf*POWER(1+bandwidthGrowth,A202)*mbToGB*1000)/(compactBlockCompactedness+missingTransactionRate)</f>
        <v>24.397022252805449</v>
      </c>
      <c r="E202" s="253">
        <f>(B202 - C202)*(avgTrSize+D148)*(avgLowRelayVerification*ongoingResourceRatio10pf*POWER(1+cpuGrowth,A202))/missingTransactionRate/1000/1000</f>
        <v>68.537134940035173</v>
      </c>
      <c r="F202" s="91">
        <f t="shared" si="33"/>
        <v>24.397022252805449</v>
      </c>
      <c r="G202" s="91">
        <f>F202*endGameTransactionSize/(endGameTransactionSize+D148)</f>
        <v>12.13464457600271</v>
      </c>
      <c r="H202" s="6">
        <f t="shared" si="34"/>
        <v>42.577700266676182</v>
      </c>
      <c r="I202" s="265">
        <f>F202*(missingTransactionRate+compactBlockCompactedness)/(avgLowRelayBandwidth*ongoingResourceRatio10pf*POWER(1+bandwidthGrowth,A202)*mbToGB*1000)</f>
        <v>2.0437872244983919</v>
      </c>
      <c r="J202" s="266">
        <f>(G202*missingTransactionRate*1000*1000/avgTrSize)/(avgLowRelayVerification*ongoingResourceRatio10pf*POWER(1+cpuGrowth,A202))</f>
        <v>0.72752271363126753</v>
      </c>
      <c r="K202" s="159">
        <f t="shared" si="32"/>
        <v>2.4</v>
      </c>
    </row>
    <row r="203" spans="1:11" s="78" customFormat="1" x14ac:dyDescent="0.25">
      <c r="A203" s="78">
        <v>9</v>
      </c>
      <c r="B203" s="113">
        <f t="shared" si="31"/>
        <v>2.4</v>
      </c>
      <c r="C203" s="269">
        <f>(((avgHops20-1)*minLastMileLatency) + ((avgHops20-1)*proximityFavoringFactor2*(latency1pf-minLastMileLatency)+(latency10pf-minLastMileLatency))*(1-(1-POWER(1+latencyGrowth,A203))))/1000</f>
        <v>0.3482237568676162</v>
      </c>
      <c r="D203" s="253">
        <f>(B203 - C203)*(avgLowRelayBandwidth*ongoingResourceRatio10pf*POWER(1+bandwidthGrowth,A203)*mbToGB*1000)/(compactBlockCompactedness+missingTransactionRate)</f>
        <v>30.61548559302933</v>
      </c>
      <c r="E203" s="253">
        <f>(B203 - C203)*(avgTrSize+D149)*(avgLowRelayVerification*ongoingResourceRatio10pf*POWER(1+cpuGrowth,A203))/missingTransactionRate/1000/1000</f>
        <v>80.501898808912387</v>
      </c>
      <c r="F203" s="91">
        <f t="shared" si="33"/>
        <v>30.61548559302933</v>
      </c>
      <c r="G203" s="91">
        <f>F203*endGameTransactionSize/(endGameTransactionSize+D149)</f>
        <v>15.227597546271133</v>
      </c>
      <c r="H203" s="6">
        <f t="shared" si="34"/>
        <v>53.430166829021516</v>
      </c>
      <c r="I203" s="265">
        <f>F203*(missingTransactionRate+compactBlockCompactedness)/(avgLowRelayBandwidth*ongoingResourceRatio10pf*POWER(1+bandwidthGrowth,A203)*mbToGB*1000)</f>
        <v>2.0517762431323838</v>
      </c>
      <c r="J203" s="266">
        <f>(G203*missingTransactionRate*1000*1000/avgTrSize)/(avgLowRelayVerification*ongoingResourceRatio10pf*POWER(1+cpuGrowth,A203))</f>
        <v>0.78030614111160512</v>
      </c>
      <c r="K203" s="159">
        <f t="shared" si="32"/>
        <v>2.4</v>
      </c>
    </row>
    <row r="204" spans="1:11" s="78" customFormat="1" x14ac:dyDescent="0.25">
      <c r="A204" s="78">
        <v>10</v>
      </c>
      <c r="B204" s="113">
        <f t="shared" si="31"/>
        <v>2.4</v>
      </c>
      <c r="C204" s="269">
        <f>(((avgHops20-1)*minLastMileLatency) + ((avgHops20-1)*proximityFavoringFactor2*(latency1pf-minLastMileLatency)+(latency10pf-minLastMileLatency))*(1-(1-POWER(1+latencyGrowth,A204))))/1000</f>
        <v>0.34047440879264429</v>
      </c>
      <c r="D204" s="253">
        <f>(B204 - C204)*(avgLowRelayBandwidth*ongoingResourceRatio10pf*POWER(1+bandwidthGrowth,A204)*mbToGB*1000)/(compactBlockCompactedness+missingTransactionRate)</f>
        <v>38.413896420926463</v>
      </c>
      <c r="E204" s="253">
        <f>(B204 - C204)*(avgTrSize+D150)*(avgLowRelayVerification*ongoingResourceRatio10pf*POWER(1+cpuGrowth,A204))/missingTransactionRate/1000/1000</f>
        <v>94.542957065830436</v>
      </c>
      <c r="F204" s="91">
        <f t="shared" si="33"/>
        <v>38.413896420926463</v>
      </c>
      <c r="G204" s="91">
        <f>F204*endGameTransactionSize/(endGameTransactionSize+D150)</f>
        <v>19.106388272188553</v>
      </c>
      <c r="H204" s="6">
        <f t="shared" si="34"/>
        <v>67.039958849784398</v>
      </c>
      <c r="I204" s="265">
        <f>F204*(missingTransactionRate+compactBlockCompactedness)/(avgLowRelayBandwidth*ongoingResourceRatio10pf*POWER(1+bandwidthGrowth,A204)*mbToGB*1000)</f>
        <v>2.0595255912073558</v>
      </c>
      <c r="J204" s="266">
        <f>(G204*missingTransactionRate*1000*1000/avgTrSize)/(avgLowRelayVerification*ongoingResourceRatio10pf*POWER(1+cpuGrowth,A204))</f>
        <v>0.8368090568798181</v>
      </c>
      <c r="K204" s="159">
        <f t="shared" si="32"/>
        <v>2.4</v>
      </c>
    </row>
    <row r="205" spans="1:11" s="78" customFormat="1" x14ac:dyDescent="0.25">
      <c r="A205" s="78">
        <v>11</v>
      </c>
      <c r="B205" s="113">
        <f t="shared" si="31"/>
        <v>2.4</v>
      </c>
      <c r="C205" s="269">
        <f>(((avgHops20-1)*minLastMileLatency) + ((avgHops20-1)*proximityFavoringFactor2*(latency1pf-minLastMileLatency)+(latency10pf-minLastMileLatency))*(1-(1-POWER(1+latencyGrowth,A205))))/1000</f>
        <v>0.33295754115992149</v>
      </c>
      <c r="D205" s="253">
        <f>(B205 - C205)*(avgLowRelayBandwidth*ongoingResourceRatio10pf*POWER(1+bandwidthGrowth,A205)*mbToGB*1000)/(compactBlockCompactedness+missingTransactionRate)</f>
        <v>48.192624584596331</v>
      </c>
      <c r="E205" s="253">
        <f>(B205 - C205)*(avgTrSize+D151)*(avgLowRelayVerification*ongoingResourceRatio10pf*POWER(1+cpuGrowth,A205))/missingTransactionRate/1000/1000</f>
        <v>111.01898393989801</v>
      </c>
      <c r="F205" s="91">
        <f t="shared" si="33"/>
        <v>48.192624584596331</v>
      </c>
      <c r="G205" s="91">
        <f>F205*endGameTransactionSize/(endGameTransactionSize+D151)</f>
        <v>23.970153589197128</v>
      </c>
      <c r="H205" s="6">
        <f t="shared" si="34"/>
        <v>84.10580206735834</v>
      </c>
      <c r="I205" s="265">
        <f>F205*(missingTransactionRate+compactBlockCompactedness)/(avgLowRelayBandwidth*ongoingResourceRatio10pf*POWER(1+bandwidthGrowth,A205)*mbToGB*1000)</f>
        <v>2.0670424588400786</v>
      </c>
      <c r="J205" s="266">
        <f>(G205*missingTransactionRate*1000*1000/avgTrSize)/(avgLowRelayVerification*ongoingResourceRatio10pf*POWER(1+cpuGrowth,A205))</f>
        <v>0.89728979390794772</v>
      </c>
      <c r="K205" s="159">
        <f t="shared" si="32"/>
        <v>2.4000000000000004</v>
      </c>
    </row>
    <row r="206" spans="1:11" s="78" customFormat="1" x14ac:dyDescent="0.25">
      <c r="A206" s="78">
        <v>12</v>
      </c>
      <c r="B206" s="113">
        <f t="shared" si="31"/>
        <v>2.4</v>
      </c>
      <c r="C206" s="269">
        <f>(((avgHops20-1)*minLastMileLatency) + ((avgHops20-1)*proximityFavoringFactor2*(latency1pf-minLastMileLatency)+(latency10pf-minLastMileLatency))*(1-(1-POWER(1+latencyGrowth,A206))))/1000</f>
        <v>0.32566617955618032</v>
      </c>
      <c r="D206" s="253">
        <f>(B206 - C206)*(avgLowRelayBandwidth*ongoingResourceRatio10pf*POWER(1+bandwidthGrowth,A206)*mbToGB*1000)/(compactBlockCompactedness+missingTransactionRate)</f>
        <v>60.453276276601805</v>
      </c>
      <c r="E206" s="253">
        <f>(B206 - C206)*(avgTrSize+D152)*(avgLowRelayVerification*ongoingResourceRatio10pf*POWER(1+cpuGrowth,A206))/missingTransactionRate/1000/1000</f>
        <v>130.35039777347802</v>
      </c>
      <c r="F206" s="91">
        <f t="shared" si="33"/>
        <v>60.453276276601805</v>
      </c>
      <c r="G206" s="91">
        <f>F206*endGameTransactionSize/(endGameTransactionSize+D152)</f>
        <v>30.068383488362155</v>
      </c>
      <c r="H206" s="6">
        <f t="shared" si="34"/>
        <v>105.50309995916547</v>
      </c>
      <c r="I206" s="265">
        <f>F206*(missingTransactionRate+compactBlockCompactedness)/(avgLowRelayBandwidth*ongoingResourceRatio10pf*POWER(1+bandwidthGrowth,A206)*mbToGB*1000)</f>
        <v>2.0743338204438198</v>
      </c>
      <c r="J206" s="266">
        <f>(G206*missingTransactionRate*1000*1000/avgTrSize)/(avgLowRelayVerification*ongoingResourceRatio10pf*POWER(1+cpuGrowth,A206))</f>
        <v>0.96202449458657457</v>
      </c>
      <c r="K206" s="159">
        <f t="shared" si="32"/>
        <v>2.4</v>
      </c>
    </row>
    <row r="207" spans="1:11" s="78" customFormat="1" x14ac:dyDescent="0.25">
      <c r="A207" s="78">
        <v>13</v>
      </c>
      <c r="B207" s="113">
        <f t="shared" si="31"/>
        <v>2.4</v>
      </c>
      <c r="C207" s="269">
        <f>(((avgHops20-1)*minLastMileLatency) + ((avgHops20-1)*proximityFavoringFactor2*(latency1pf-minLastMileLatency)+(latency10pf-minLastMileLatency))*(1-(1-POWER(1+latencyGrowth,A207))))/1000</f>
        <v>0.31859355880055146</v>
      </c>
      <c r="D207" s="253">
        <f>(B207 - C207)*(avgLowRelayBandwidth*ongoingResourceRatio10pf*POWER(1+bandwidthGrowth,A207)*mbToGB*1000)/(compactBlockCompactedness+missingTransactionRate)</f>
        <v>75.8242461951031</v>
      </c>
      <c r="E207" s="253">
        <f>(B207 - C207)*(avgTrSize+D153)*(avgLowRelayVerification*ongoingResourceRatio10pf*POWER(1+cpuGrowth,A207))/missingTransactionRate/1000/1000</f>
        <v>147.90225581581549</v>
      </c>
      <c r="F207" s="91">
        <f t="shared" si="33"/>
        <v>75.8242461951031</v>
      </c>
      <c r="G207" s="91">
        <f>F207*endGameTransactionSize/(endGameTransactionSize+D153)</f>
        <v>39.021145116656527</v>
      </c>
      <c r="H207" s="6">
        <f t="shared" si="34"/>
        <v>136.91629865493519</v>
      </c>
      <c r="I207" s="265">
        <f>F207*(missingTransactionRate+compactBlockCompactedness)/(avgLowRelayBandwidth*ongoingResourceRatio10pf*POWER(1+bandwidthGrowth,A207)*mbToGB*1000)</f>
        <v>2.0814064411994484</v>
      </c>
      <c r="J207" s="266">
        <f>(G207*missingTransactionRate*1000*1000/avgTrSize)/(avgLowRelayVerification*ongoingResourceRatio10pf*POWER(1+cpuGrowth,A207))</f>
        <v>1.0670633355728996</v>
      </c>
      <c r="K207" s="159">
        <f t="shared" si="32"/>
        <v>2.4</v>
      </c>
    </row>
    <row r="208" spans="1:11" s="78" customFormat="1" x14ac:dyDescent="0.25">
      <c r="A208" s="78">
        <v>14</v>
      </c>
      <c r="B208" s="113">
        <f t="shared" si="31"/>
        <v>2.4</v>
      </c>
      <c r="C208" s="269">
        <f>(((avgHops20-1)*minLastMileLatency) + ((avgHops20-1)*proximityFavoringFactor2*(latency1pf-minLastMileLatency)+(latency10pf-minLastMileLatency))*(1-(1-POWER(1+latencyGrowth,A208))))/1000</f>
        <v>0.31173311666759146</v>
      </c>
      <c r="D208" s="253">
        <f>(B208 - C208)*(avgLowRelayBandwidth*ongoingResourceRatio10pf*POWER(1+bandwidthGrowth,A208)*mbToGB*1000)/(compactBlockCompactedness+missingTransactionRate)</f>
        <v>95.092709398716806</v>
      </c>
      <c r="E208" s="253">
        <f>(B208 - C208)*(avgTrSize+D154)*(avgLowRelayVerification*ongoingResourceRatio10pf*POWER(1+cpuGrowth,A208))/missingTransactionRate/1000/1000</f>
        <v>173.61600824894035</v>
      </c>
      <c r="F208" s="91">
        <f t="shared" si="33"/>
        <v>95.092709398716806</v>
      </c>
      <c r="G208" s="91">
        <f>F208*endGameTransactionSize/(endGameTransactionSize+D154)</f>
        <v>48.937201478212877</v>
      </c>
      <c r="H208" s="6">
        <f t="shared" si="34"/>
        <v>171.70947887092237</v>
      </c>
      <c r="I208" s="265">
        <f>F208*(missingTransactionRate+compactBlockCompactedness)/(avgLowRelayBandwidth*ongoingResourceRatio10pf*POWER(1+bandwidthGrowth,A208)*mbToGB*1000)</f>
        <v>2.0882668833324085</v>
      </c>
      <c r="J208" s="266">
        <f>(G208*missingTransactionRate*1000*1000/avgTrSize)/(avgLowRelayVerification*ongoingResourceRatio10pf*POWER(1+cpuGrowth,A208))</f>
        <v>1.1437825226286691</v>
      </c>
      <c r="K208" s="159">
        <f t="shared" si="32"/>
        <v>2.4</v>
      </c>
    </row>
    <row r="209" spans="1:11" s="78" customFormat="1" x14ac:dyDescent="0.25">
      <c r="A209" s="78">
        <v>15</v>
      </c>
      <c r="B209" s="113">
        <f t="shared" si="31"/>
        <v>2.4</v>
      </c>
      <c r="C209" s="269">
        <f>(((avgHops20-1)*minLastMileLatency) + ((avgHops20-1)*proximityFavoringFactor2*(latency1pf-minLastMileLatency)+(latency10pf-minLastMileLatency))*(1-(1-POWER(1+latencyGrowth,A209))))/1000</f>
        <v>0.30507848779862023</v>
      </c>
      <c r="D209" s="253">
        <f>(B209 - C209)*(avgLowRelayBandwidth*ongoingResourceRatio10pf*POWER(1+bandwidthGrowth,A209)*mbToGB*1000)/(compactBlockCompactedness+missingTransactionRate)</f>
        <v>119.244673754887</v>
      </c>
      <c r="E209" s="253">
        <f>(B209 - C209)*(avgTrSize+D155)*(avgLowRelayVerification*ongoingResourceRatio10pf*POWER(1+cpuGrowth,A209))/missingTransactionRate/1000/1000</f>
        <v>203.77804136630078</v>
      </c>
      <c r="F209" s="91">
        <f t="shared" si="33"/>
        <v>119.244673754887</v>
      </c>
      <c r="G209" s="91">
        <f>F209*endGameTransactionSize/(endGameTransactionSize+D155)</f>
        <v>61.36643557266666</v>
      </c>
      <c r="H209" s="6">
        <f t="shared" si="34"/>
        <v>215.3208265707602</v>
      </c>
      <c r="I209" s="265">
        <f>F209*(missingTransactionRate+compactBlockCompactedness)/(avgLowRelayBandwidth*ongoingResourceRatio10pf*POWER(1+bandwidthGrowth,A209)*mbToGB*1000)</f>
        <v>2.0949215122013798</v>
      </c>
      <c r="J209" s="266">
        <f>(G209*missingTransactionRate*1000*1000/avgTrSize)/(avgLowRelayVerification*ongoingResourceRatio10pf*POWER(1+cpuGrowth,A209))</f>
        <v>1.225883959771239</v>
      </c>
      <c r="K209" s="159">
        <f>MAX(I209,J209)+C209</f>
        <v>2.4</v>
      </c>
    </row>
    <row r="210" spans="1:11" s="78" customFormat="1" x14ac:dyDescent="0.25">
      <c r="B210" s="113"/>
      <c r="C210" s="8"/>
      <c r="D210" s="116"/>
      <c r="E210" s="115"/>
      <c r="F210" s="115"/>
      <c r="G210" s="117"/>
    </row>
    <row r="211" spans="1:11" s="78" customFormat="1" x14ac:dyDescent="0.25">
      <c r="B211" s="126"/>
      <c r="C211" s="127" t="s">
        <v>141</v>
      </c>
      <c r="D211" s="142"/>
      <c r="E211" s="126"/>
      <c r="F211" s="134"/>
      <c r="G211" s="127" t="s">
        <v>132</v>
      </c>
      <c r="H211" s="142"/>
      <c r="I211" s="126"/>
      <c r="J211" s="136" t="s">
        <v>132</v>
      </c>
    </row>
    <row r="212" spans="1:11" s="78" customFormat="1" x14ac:dyDescent="0.25">
      <c r="B212" s="128" t="s">
        <v>122</v>
      </c>
      <c r="C212" s="129" t="s">
        <v>122</v>
      </c>
      <c r="D212" s="142"/>
      <c r="E212" s="128" t="s">
        <v>30</v>
      </c>
      <c r="F212" s="135" t="s">
        <v>95</v>
      </c>
      <c r="G212" s="129" t="s">
        <v>133</v>
      </c>
      <c r="H212" s="142"/>
      <c r="I212" s="128" t="s">
        <v>30</v>
      </c>
      <c r="J212" s="129" t="s">
        <v>134</v>
      </c>
    </row>
    <row r="213" spans="1:11" s="78" customFormat="1" x14ac:dyDescent="0.25">
      <c r="B213" s="130">
        <v>40</v>
      </c>
      <c r="C213" s="131">
        <f t="shared" ref="C213:C223" si="35">(avgHops19)*B213/1000</f>
        <v>0.17677987646655335</v>
      </c>
      <c r="E213" s="137">
        <v>5000</v>
      </c>
      <c r="F213" s="139">
        <v>100</v>
      </c>
      <c r="G213" s="131">
        <f>(E213*missingTransactionRate*1000/avgTrSize)/(F213*ongoingResourceRatio10pf)</f>
        <v>10.526315789473683</v>
      </c>
      <c r="I213" s="137">
        <v>500</v>
      </c>
      <c r="J213" s="131">
        <f>I213*(missingTransactionRate+compactBlockCompactedness)/(avgRelayBandwidth*ongoingResourceRatio10pf*mbToGB*KBperGB)</f>
        <v>1.52E-2</v>
      </c>
    </row>
    <row r="214" spans="1:11" s="78" customFormat="1" x14ac:dyDescent="0.25">
      <c r="B214" s="130">
        <v>60</v>
      </c>
      <c r="C214" s="131">
        <f t="shared" si="35"/>
        <v>0.26516981469983003</v>
      </c>
      <c r="E214" s="137">
        <v>5000</v>
      </c>
      <c r="F214" s="139">
        <v>200</v>
      </c>
      <c r="G214" s="267">
        <f>(E214*missingTransactionRate*1000/avgTrSize)/(F214*ongoingResourceRatio10pf)</f>
        <v>5.2631578947368416</v>
      </c>
      <c r="I214" s="137">
        <v>1000</v>
      </c>
      <c r="J214" s="267">
        <f>I214*(missingTransactionRate+compactBlockCompactedness)/(avgRelayBandwidth*ongoingResourceRatio10pf*mbToGB*KBperGB)</f>
        <v>3.04E-2</v>
      </c>
    </row>
    <row r="215" spans="1:11" s="78" customFormat="1" x14ac:dyDescent="0.25">
      <c r="B215" s="130">
        <v>80</v>
      </c>
      <c r="C215" s="131">
        <f t="shared" si="35"/>
        <v>0.35355975293310671</v>
      </c>
      <c r="E215" s="137">
        <v>5000</v>
      </c>
      <c r="F215" s="139">
        <v>500</v>
      </c>
      <c r="G215" s="267">
        <f>(E215*missingTransactionRate*1000/avgTrSize)/(F215*ongoingResourceRatio10pf)</f>
        <v>2.1052631578947367</v>
      </c>
      <c r="I215" s="137">
        <v>1500</v>
      </c>
      <c r="J215" s="267">
        <f>I215*(missingTransactionRate+compactBlockCompactedness)/(avgRelayBandwidth*ongoingResourceRatio10pf*mbToGB*KBperGB)</f>
        <v>4.5600000000000002E-2</v>
      </c>
    </row>
    <row r="216" spans="1:11" s="78" customFormat="1" x14ac:dyDescent="0.25">
      <c r="B216" s="130">
        <v>100</v>
      </c>
      <c r="C216" s="131">
        <f t="shared" si="35"/>
        <v>0.44194969116638338</v>
      </c>
      <c r="E216" s="137">
        <v>5000</v>
      </c>
      <c r="F216" s="139">
        <v>1000</v>
      </c>
      <c r="G216" s="267">
        <f>(E216*missingTransactionRate*1000/avgTrSize)/(F216*ongoingResourceRatio10pf)</f>
        <v>1.0526315789473684</v>
      </c>
      <c r="I216" s="137">
        <v>2000</v>
      </c>
      <c r="J216" s="267">
        <f>I216*(missingTransactionRate+compactBlockCompactedness)/(avgRelayBandwidth*ongoingResourceRatio10pf*mbToGB*KBperGB)</f>
        <v>6.08E-2</v>
      </c>
    </row>
    <row r="217" spans="1:11" s="78" customFormat="1" x14ac:dyDescent="0.25">
      <c r="B217" s="130">
        <v>120</v>
      </c>
      <c r="C217" s="131">
        <f t="shared" si="35"/>
        <v>0.53033962939966006</v>
      </c>
      <c r="E217" s="137">
        <v>5000</v>
      </c>
      <c r="F217" s="139">
        <v>2000</v>
      </c>
      <c r="G217" s="267">
        <f>(E217*missingTransactionRate*1000/avgTrSize)/(F217*ongoingResourceRatio10pf)</f>
        <v>0.52631578947368418</v>
      </c>
      <c r="I217" s="137">
        <v>2500</v>
      </c>
      <c r="J217" s="267">
        <f>I217*(missingTransactionRate+compactBlockCompactedness)/(avgRelayBandwidth*ongoingResourceRatio10pf*mbToGB*KBperGB)</f>
        <v>7.5999999999999998E-2</v>
      </c>
    </row>
    <row r="218" spans="1:11" s="78" customFormat="1" x14ac:dyDescent="0.25">
      <c r="B218" s="130">
        <v>140</v>
      </c>
      <c r="C218" s="131">
        <f t="shared" si="35"/>
        <v>0.61872956763293674</v>
      </c>
      <c r="E218" s="137">
        <v>5000</v>
      </c>
      <c r="F218" s="139">
        <v>5000</v>
      </c>
      <c r="G218" s="267">
        <f>(E218*missingTransactionRate*1000/avgTrSize)/(F218*ongoingResourceRatio10pf)</f>
        <v>0.21052631578947367</v>
      </c>
      <c r="I218" s="137">
        <v>3000</v>
      </c>
      <c r="J218" s="267">
        <f>I218*(missingTransactionRate+compactBlockCompactedness)/(avgRelayBandwidth*ongoingResourceRatio10pf*mbToGB*KBperGB)</f>
        <v>9.1200000000000003E-2</v>
      </c>
    </row>
    <row r="219" spans="1:11" s="78" customFormat="1" x14ac:dyDescent="0.25">
      <c r="B219" s="130">
        <v>160</v>
      </c>
      <c r="C219" s="131">
        <f t="shared" si="35"/>
        <v>0.70711950586621342</v>
      </c>
      <c r="E219" s="137">
        <v>5000</v>
      </c>
      <c r="F219" s="139">
        <v>10000</v>
      </c>
      <c r="G219" s="267">
        <f>(E219*missingTransactionRate*1000/avgTrSize)/(F219*ongoingResourceRatio10pf)</f>
        <v>0.10526315789473684</v>
      </c>
      <c r="I219" s="137">
        <v>3500</v>
      </c>
      <c r="J219" s="267">
        <f>I219*(missingTransactionRate+compactBlockCompactedness)/(avgRelayBandwidth*ongoingResourceRatio10pf*mbToGB*KBperGB)</f>
        <v>0.10639999999999999</v>
      </c>
    </row>
    <row r="220" spans="1:11" s="78" customFormat="1" x14ac:dyDescent="0.25">
      <c r="B220" s="130">
        <v>180</v>
      </c>
      <c r="C220" s="131">
        <f t="shared" si="35"/>
        <v>0.79550944409949009</v>
      </c>
      <c r="E220" s="137">
        <v>5000</v>
      </c>
      <c r="F220" s="139">
        <v>20000</v>
      </c>
      <c r="G220" s="267">
        <f>(E220*missingTransactionRate*1000/avgTrSize)/(F220*ongoingResourceRatio10pf)</f>
        <v>5.2631578947368418E-2</v>
      </c>
      <c r="I220" s="137">
        <v>4000</v>
      </c>
      <c r="J220" s="267">
        <f>I220*(missingTransactionRate+compactBlockCompactedness)/(avgRelayBandwidth*ongoingResourceRatio10pf*mbToGB*KBperGB)</f>
        <v>0.1216</v>
      </c>
    </row>
    <row r="221" spans="1:11" s="78" customFormat="1" x14ac:dyDescent="0.25">
      <c r="B221" s="130">
        <v>200</v>
      </c>
      <c r="C221" s="131">
        <f t="shared" si="35"/>
        <v>0.88389938233276677</v>
      </c>
      <c r="E221" s="137">
        <v>5000</v>
      </c>
      <c r="F221" s="139">
        <v>50000</v>
      </c>
      <c r="G221" s="267">
        <f>(E221*missingTransactionRate*1000/avgTrSize)/(F221*ongoingResourceRatio10pf)</f>
        <v>2.1052631578947368E-2</v>
      </c>
      <c r="I221" s="137">
        <v>4500</v>
      </c>
      <c r="J221" s="267">
        <f>I221*(missingTransactionRate+compactBlockCompactedness)/(avgRelayBandwidth*ongoingResourceRatio10pf*mbToGB*KBperGB)</f>
        <v>0.1368</v>
      </c>
    </row>
    <row r="222" spans="1:11" s="78" customFormat="1" x14ac:dyDescent="0.25">
      <c r="B222" s="130">
        <v>220</v>
      </c>
      <c r="C222" s="131">
        <f t="shared" si="35"/>
        <v>0.97228932056604345</v>
      </c>
      <c r="E222" s="137">
        <v>5000</v>
      </c>
      <c r="F222" s="139">
        <v>100000</v>
      </c>
      <c r="G222" s="267">
        <f>(E222*missingTransactionRate*1000/avgTrSize)/(F222*ongoingResourceRatio10pf)</f>
        <v>1.0526315789473684E-2</v>
      </c>
      <c r="I222" s="137">
        <v>5000</v>
      </c>
      <c r="J222" s="267">
        <f>I222*(missingTransactionRate+compactBlockCompactedness)/(avgRelayBandwidth*ongoingResourceRatio10pf*mbToGB*KBperGB)</f>
        <v>0.152</v>
      </c>
    </row>
    <row r="223" spans="1:11" s="78" customFormat="1" x14ac:dyDescent="0.25">
      <c r="B223" s="132">
        <v>240</v>
      </c>
      <c r="C223" s="133">
        <f t="shared" si="35"/>
        <v>1.0606792587993201</v>
      </c>
      <c r="E223" s="138">
        <v>5000</v>
      </c>
      <c r="F223" s="140">
        <v>200000</v>
      </c>
      <c r="G223" s="268">
        <f>(E223*missingTransactionRate*1000/avgTrSize)/(F223*ongoingResourceRatio10pf)</f>
        <v>5.263157894736842E-3</v>
      </c>
      <c r="I223" s="138">
        <v>5500</v>
      </c>
      <c r="J223" s="268">
        <f>I223*(missingTransactionRate+compactBlockCompactedness)/(avgRelayBandwidth*ongoingResourceRatio10pf*mbToGB*KBperGB)</f>
        <v>0.16719999999999999</v>
      </c>
    </row>
    <row r="225" spans="1:11" x14ac:dyDescent="0.25">
      <c r="A225" s="83" t="s">
        <v>111</v>
      </c>
    </row>
    <row r="226" spans="1:11" x14ac:dyDescent="0.25">
      <c r="D226" s="79" t="s">
        <v>115</v>
      </c>
    </row>
    <row r="227" spans="1:11" x14ac:dyDescent="0.25">
      <c r="B227" s="79" t="s">
        <v>112</v>
      </c>
      <c r="C227" s="79" t="s">
        <v>113</v>
      </c>
      <c r="D227" s="79" t="s">
        <v>105</v>
      </c>
    </row>
    <row r="228" spans="1:11" x14ac:dyDescent="0.25">
      <c r="B228" s="79" t="s">
        <v>100</v>
      </c>
      <c r="C228" s="79" t="s">
        <v>114</v>
      </c>
      <c r="D228" s="161" t="s">
        <v>95</v>
      </c>
    </row>
    <row r="229" spans="1:11" x14ac:dyDescent="0.25">
      <c r="B229" s="85">
        <v>3</v>
      </c>
      <c r="C229" s="16">
        <v>30</v>
      </c>
      <c r="D229" s="101">
        <f>(endGameUsers*1000*1000*1000)*(B229/2)/(C229*24*60*60)</f>
        <v>4629.6296296296296</v>
      </c>
    </row>
    <row r="231" spans="1:11" x14ac:dyDescent="0.25">
      <c r="A231" s="83" t="s">
        <v>119</v>
      </c>
    </row>
    <row r="232" spans="1:11" x14ac:dyDescent="0.25">
      <c r="H232" s="161" t="s">
        <v>178</v>
      </c>
    </row>
    <row r="233" spans="1:11" x14ac:dyDescent="0.25">
      <c r="E233" s="161"/>
      <c r="F233" s="161"/>
      <c r="G233" s="161" t="s">
        <v>29</v>
      </c>
      <c r="H233" s="161" t="s">
        <v>179</v>
      </c>
      <c r="I233" s="161" t="s">
        <v>29</v>
      </c>
      <c r="J233" s="161" t="s">
        <v>232</v>
      </c>
    </row>
    <row r="234" spans="1:11" x14ac:dyDescent="0.25">
      <c r="E234" s="161" t="s">
        <v>64</v>
      </c>
      <c r="F234" s="161" t="s">
        <v>65</v>
      </c>
      <c r="G234" s="161" t="s">
        <v>30</v>
      </c>
      <c r="H234" s="161" t="s">
        <v>30</v>
      </c>
      <c r="I234" s="161" t="s">
        <v>87</v>
      </c>
      <c r="J234" s="161" t="s">
        <v>233</v>
      </c>
    </row>
    <row r="235" spans="1:11" ht="15.75" x14ac:dyDescent="0.25">
      <c r="D235" s="210" t="s">
        <v>182</v>
      </c>
      <c r="E235" s="211" t="str">
        <f>$B$24</f>
        <v>10th %ile</v>
      </c>
      <c r="F235" s="212">
        <f>G119</f>
        <v>140.03342878011836</v>
      </c>
      <c r="G235" s="213">
        <f>E119</f>
        <v>85.616438356164366</v>
      </c>
      <c r="H235" s="213">
        <f>F119</f>
        <v>39.909527202333727</v>
      </c>
      <c r="I235" s="214" t="s">
        <v>4</v>
      </c>
      <c r="J235" s="215">
        <f>endGameUsers*utxosPerUserEndGame</f>
        <v>800</v>
      </c>
      <c r="K235" s="251"/>
    </row>
    <row r="236" spans="1:11" ht="15.75" x14ac:dyDescent="0.25">
      <c r="D236" s="210" t="s">
        <v>183</v>
      </c>
      <c r="E236" s="211" t="str">
        <f>$B$24</f>
        <v>10th %ile</v>
      </c>
      <c r="F236" s="212">
        <f>E140</f>
        <v>750</v>
      </c>
      <c r="G236" s="213">
        <f>F140</f>
        <v>458.55</v>
      </c>
      <c r="H236" s="213">
        <f>G140</f>
        <v>213.75</v>
      </c>
      <c r="I236" s="214" t="s">
        <v>4</v>
      </c>
      <c r="J236" s="215">
        <f>endGameUsers*utxosPerUserEndGame</f>
        <v>800</v>
      </c>
      <c r="K236" s="251"/>
    </row>
    <row r="237" spans="1:11" ht="15.75" x14ac:dyDescent="0.25">
      <c r="C237" s="78"/>
      <c r="D237" s="210" t="s">
        <v>249</v>
      </c>
      <c r="E237" s="211" t="str">
        <f>B159</f>
        <v>90th %ile</v>
      </c>
      <c r="F237" s="216">
        <f>K165</f>
        <v>3.0517694540765916</v>
      </c>
      <c r="G237" s="213">
        <f>I165</f>
        <v>1.8658518442224279</v>
      </c>
      <c r="H237" s="213">
        <f>J165</f>
        <v>0.8697542944118285</v>
      </c>
      <c r="I237" s="214" t="s">
        <v>4</v>
      </c>
      <c r="J237" s="215">
        <f>endGameUsers*utxosPerUserEndGame</f>
        <v>800</v>
      </c>
      <c r="K237" s="251"/>
    </row>
    <row r="238" spans="1:11" ht="15.75" x14ac:dyDescent="0.25">
      <c r="D238" s="162" t="s">
        <v>158</v>
      </c>
      <c r="E238" s="77" t="s">
        <v>157</v>
      </c>
      <c r="F238" s="168">
        <f>H194</f>
        <v>6.4540095750700885</v>
      </c>
      <c r="G238" s="91">
        <f>F194</f>
        <v>3.9459814541978524</v>
      </c>
      <c r="H238" s="91">
        <f>G194</f>
        <v>1.8393927288949754</v>
      </c>
      <c r="I238" s="95" t="s">
        <v>4</v>
      </c>
      <c r="J238" s="157">
        <f>endGameUsers*utxosPerUserEndGame</f>
        <v>800</v>
      </c>
      <c r="K238" s="251"/>
    </row>
    <row r="239" spans="1:11" ht="15.75" x14ac:dyDescent="0.25">
      <c r="D239" s="162" t="s">
        <v>173</v>
      </c>
      <c r="E239" s="77" t="str">
        <f>$B$24</f>
        <v>10th %ile</v>
      </c>
      <c r="F239" s="163">
        <f>$F$56</f>
        <v>16.666666666666668</v>
      </c>
      <c r="G239" s="91">
        <f>G56</f>
        <v>10.19</v>
      </c>
      <c r="H239" s="91">
        <f>H56</f>
        <v>4.75</v>
      </c>
      <c r="I239" s="95" t="s">
        <v>4</v>
      </c>
      <c r="J239" s="157">
        <f>endGameUsers*utxosPerUserEndGame</f>
        <v>800</v>
      </c>
      <c r="K239" s="251"/>
    </row>
    <row r="240" spans="1:11" ht="15.75" x14ac:dyDescent="0.25">
      <c r="D240" s="162" t="s">
        <v>117</v>
      </c>
      <c r="E240" s="77" t="str">
        <f>$B$24</f>
        <v>10th %ile</v>
      </c>
      <c r="F240" s="163">
        <f>H77</f>
        <v>18.671123837349118</v>
      </c>
      <c r="G240" s="91">
        <f>F77</f>
        <v>11.415525114155251</v>
      </c>
      <c r="H240" s="91">
        <f>G77</f>
        <v>5.3212702936444991</v>
      </c>
      <c r="I240" s="95" t="s">
        <v>4</v>
      </c>
      <c r="J240" s="157">
        <f>endGameUsers*utxosPerUserEndGame</f>
        <v>800</v>
      </c>
      <c r="K240" s="251"/>
    </row>
    <row r="241" spans="1:11" ht="15.75" x14ac:dyDescent="0.25">
      <c r="D241" s="210" t="s">
        <v>250</v>
      </c>
      <c r="E241" s="211" t="str">
        <f>B159</f>
        <v>90th %ile</v>
      </c>
      <c r="F241" s="216">
        <f>E165</f>
        <v>21.362386178536145</v>
      </c>
      <c r="G241" s="213">
        <f>C165</f>
        <v>13.060962909556999</v>
      </c>
      <c r="H241" s="213">
        <f>D165</f>
        <v>6.0882800608828012</v>
      </c>
      <c r="I241" s="214" t="s">
        <v>4</v>
      </c>
      <c r="J241" s="215">
        <f>endGameUsers*utxosPerUserEndGame</f>
        <v>800</v>
      </c>
      <c r="K241" s="251"/>
    </row>
    <row r="242" spans="1:11" ht="15.75" x14ac:dyDescent="0.25">
      <c r="D242" s="162" t="s">
        <v>172</v>
      </c>
      <c r="E242" s="77" t="str">
        <f>$B$24</f>
        <v>10th %ile</v>
      </c>
      <c r="F242" s="72">
        <f>$I$35</f>
        <v>26.65139925906816</v>
      </c>
      <c r="G242" s="91">
        <f>G35</f>
        <v>16.294665506994274</v>
      </c>
      <c r="H242" s="91">
        <f>H35</f>
        <v>7.5956487888344268</v>
      </c>
      <c r="I242" s="95" t="s">
        <v>4</v>
      </c>
      <c r="J242" s="157">
        <f>endGameUsers*utxosPerUserEndGame</f>
        <v>800</v>
      </c>
      <c r="K242" s="251"/>
    </row>
    <row r="243" spans="1:11" s="78" customFormat="1" ht="15.75" x14ac:dyDescent="0.25">
      <c r="A243"/>
      <c r="B243"/>
      <c r="C243"/>
      <c r="D243" s="162" t="s">
        <v>180</v>
      </c>
      <c r="E243" s="77" t="str">
        <f>$B$24</f>
        <v>10th %ile</v>
      </c>
      <c r="F243" s="163">
        <f>E98</f>
        <v>100</v>
      </c>
      <c r="G243" s="91">
        <f>F98</f>
        <v>61.14</v>
      </c>
      <c r="H243" s="91">
        <f>G98</f>
        <v>28.5</v>
      </c>
      <c r="I243" s="95" t="s">
        <v>4</v>
      </c>
      <c r="J243" s="157">
        <f>endGameUsers*utxosPerUserEndGame</f>
        <v>800</v>
      </c>
      <c r="K243" s="251"/>
    </row>
    <row r="244" spans="1:11" s="78" customFormat="1" ht="15.75" x14ac:dyDescent="0.25">
      <c r="D244" s="181"/>
      <c r="E244" s="77"/>
      <c r="F244"/>
      <c r="G244"/>
      <c r="H244"/>
      <c r="I244" s="95"/>
      <c r="J244" s="157"/>
    </row>
    <row r="245" spans="1:11" s="78" customFormat="1" x14ac:dyDescent="0.25">
      <c r="D245" s="181" t="s">
        <v>231</v>
      </c>
      <c r="F245" s="168">
        <f>'Current Bitcoin'!F403</f>
        <v>7.0175438596491233</v>
      </c>
      <c r="G245" s="91">
        <f>'Current Bitcoin'!G403/1000</f>
        <v>2</v>
      </c>
      <c r="H245" s="91">
        <f>'Current Bitcoin'!$C$30/1000</f>
        <v>2</v>
      </c>
      <c r="I245" s="27">
        <f>'Current Bitcoin'!H403</f>
        <v>210</v>
      </c>
      <c r="J245" s="27"/>
    </row>
    <row r="246" spans="1:11" s="78" customFormat="1" x14ac:dyDescent="0.25">
      <c r="D246" s="181" t="s">
        <v>230</v>
      </c>
      <c r="F246" s="209">
        <f>$D$229</f>
        <v>4629.6296296296296</v>
      </c>
      <c r="G246" s="8"/>
      <c r="H246" s="27"/>
      <c r="I246" s="27"/>
      <c r="J246" s="157"/>
    </row>
    <row r="247" spans="1:11" s="78" customFormat="1" x14ac:dyDescent="0.25">
      <c r="F247" s="6"/>
      <c r="G247" s="8"/>
      <c r="H247" s="27"/>
      <c r="I247" s="27"/>
    </row>
    <row r="248" spans="1:11" x14ac:dyDescent="0.25">
      <c r="A248" s="83" t="s">
        <v>120</v>
      </c>
      <c r="B248" s="78"/>
      <c r="C248" s="78"/>
    </row>
    <row r="249" spans="1:11" x14ac:dyDescent="0.25">
      <c r="A249" s="78"/>
      <c r="B249" s="78"/>
      <c r="C249" s="78"/>
      <c r="D249" s="78"/>
      <c r="E249" s="78"/>
      <c r="F249" s="78"/>
      <c r="G249" s="78"/>
      <c r="H249" s="161" t="s">
        <v>178</v>
      </c>
      <c r="I249" s="78"/>
      <c r="J249" s="78"/>
    </row>
    <row r="250" spans="1:11" x14ac:dyDescent="0.25">
      <c r="A250" s="78"/>
      <c r="B250" s="78"/>
      <c r="C250" s="78"/>
      <c r="D250" s="78"/>
      <c r="E250" s="161"/>
      <c r="F250" s="161"/>
      <c r="G250" s="161" t="s">
        <v>29</v>
      </c>
      <c r="H250" s="161" t="s">
        <v>179</v>
      </c>
      <c r="I250" s="161" t="s">
        <v>29</v>
      </c>
      <c r="J250" s="161" t="s">
        <v>29</v>
      </c>
    </row>
    <row r="251" spans="1:11" x14ac:dyDescent="0.25">
      <c r="A251" s="78"/>
      <c r="B251" s="78"/>
      <c r="C251" s="78"/>
      <c r="D251" s="78"/>
      <c r="E251" s="161" t="s">
        <v>64</v>
      </c>
      <c r="F251" s="161" t="s">
        <v>65</v>
      </c>
      <c r="G251" s="161" t="s">
        <v>30</v>
      </c>
      <c r="H251" s="161" t="s">
        <v>30</v>
      </c>
      <c r="I251" s="161" t="s">
        <v>87</v>
      </c>
      <c r="J251" s="161" t="s">
        <v>33</v>
      </c>
    </row>
    <row r="252" spans="1:11" ht="15.75" x14ac:dyDescent="0.25">
      <c r="A252" s="78"/>
      <c r="B252" s="78"/>
      <c r="C252" s="78"/>
      <c r="D252" s="210" t="s">
        <v>182</v>
      </c>
      <c r="E252" s="211" t="str">
        <f>$B$24</f>
        <v>10th %ile</v>
      </c>
      <c r="F252" s="212">
        <f>G129</f>
        <v>1391.5623350658013</v>
      </c>
      <c r="G252" s="213">
        <f>E129</f>
        <v>797.36521799270417</v>
      </c>
      <c r="H252" s="213">
        <f>F129</f>
        <v>396.5952654937534</v>
      </c>
      <c r="I252" s="214" t="s">
        <v>4</v>
      </c>
      <c r="J252" s="215">
        <f>endGameUsers*utxosPerUserEndGame</f>
        <v>800</v>
      </c>
    </row>
    <row r="253" spans="1:11" ht="15.75" x14ac:dyDescent="0.25">
      <c r="A253" s="78"/>
      <c r="B253" s="78"/>
      <c r="C253" s="78"/>
      <c r="D253" s="210" t="s">
        <v>183</v>
      </c>
      <c r="E253" s="211" t="str">
        <f>$B$24</f>
        <v>10th %ile</v>
      </c>
      <c r="F253" s="212">
        <f>E150</f>
        <v>3605.121291933589</v>
      </c>
      <c r="G253" s="213">
        <f>F150</f>
        <v>2065.7345002779466</v>
      </c>
      <c r="H253" s="213">
        <f>G150</f>
        <v>1027.4595682010729</v>
      </c>
      <c r="I253" s="214" t="s">
        <v>4</v>
      </c>
      <c r="J253" s="215">
        <f>endGameUsers*utxosPerUserEndGame</f>
        <v>800</v>
      </c>
    </row>
    <row r="254" spans="1:11" ht="15.75" x14ac:dyDescent="0.25">
      <c r="A254" s="78"/>
      <c r="B254" s="78"/>
      <c r="C254" s="78"/>
      <c r="D254" s="210" t="s">
        <v>249</v>
      </c>
      <c r="E254" s="211" t="str">
        <f>B159</f>
        <v>90th %ile</v>
      </c>
      <c r="F254" s="212">
        <f>K175</f>
        <v>28.421817851034852</v>
      </c>
      <c r="G254" s="213">
        <f>I175</f>
        <v>16.285701628642968</v>
      </c>
      <c r="H254" s="213">
        <f>J175</f>
        <v>8.100218087544933</v>
      </c>
      <c r="I254" s="214" t="s">
        <v>4</v>
      </c>
      <c r="J254" s="215">
        <f>endGameUsers*utxosPerUserEndGame</f>
        <v>800</v>
      </c>
    </row>
    <row r="255" spans="1:11" ht="15.75" x14ac:dyDescent="0.25">
      <c r="A255" s="78"/>
      <c r="B255" s="78"/>
      <c r="C255" s="78"/>
      <c r="D255" s="162" t="s">
        <v>158</v>
      </c>
      <c r="E255" s="77" t="s">
        <v>157</v>
      </c>
      <c r="F255" s="168">
        <f>H204</f>
        <v>67.039958849784398</v>
      </c>
      <c r="G255" s="91">
        <f>F204</f>
        <v>38.413896420926463</v>
      </c>
      <c r="H255" s="91">
        <f>G204</f>
        <v>19.106388272188553</v>
      </c>
      <c r="I255" s="95" t="s">
        <v>4</v>
      </c>
      <c r="J255" s="157">
        <f>endGameUsers*utxosPerUserEndGame</f>
        <v>800</v>
      </c>
    </row>
    <row r="256" spans="1:11" ht="15.75" x14ac:dyDescent="0.25">
      <c r="A256" s="78"/>
      <c r="B256" s="78"/>
      <c r="C256" s="78"/>
      <c r="D256" s="162" t="s">
        <v>173</v>
      </c>
      <c r="E256" s="77" t="str">
        <f>$B$24</f>
        <v>10th %ile</v>
      </c>
      <c r="F256" s="163">
        <f>F66</f>
        <v>80.113806487413086</v>
      </c>
      <c r="G256" s="91">
        <f>G66</f>
        <v>45.905211117287699</v>
      </c>
      <c r="H256" s="91">
        <f>H66</f>
        <v>22.83243484891273</v>
      </c>
      <c r="I256" s="95" t="s">
        <v>4</v>
      </c>
      <c r="J256" s="157">
        <f>endGameUsers*utxosPerUserEndGame</f>
        <v>800</v>
      </c>
    </row>
    <row r="257" spans="1:10" ht="15.75" x14ac:dyDescent="0.25">
      <c r="B257" s="78"/>
      <c r="C257" s="78"/>
      <c r="D257" s="162" t="s">
        <v>117</v>
      </c>
      <c r="E257" s="77" t="str">
        <f>$B$24</f>
        <v>10th %ile</v>
      </c>
      <c r="F257" s="163">
        <f>H87</f>
        <v>185.54164467544015</v>
      </c>
      <c r="G257" s="91">
        <f>F87</f>
        <v>106.31536239902722</v>
      </c>
      <c r="H257" s="91">
        <f>G87</f>
        <v>52.879368732500446</v>
      </c>
      <c r="I257" s="95" t="s">
        <v>4</v>
      </c>
      <c r="J257" s="157">
        <f>endGameUsers*utxosPerUserEndGame</f>
        <v>800</v>
      </c>
    </row>
    <row r="258" spans="1:10" ht="15.75" x14ac:dyDescent="0.25">
      <c r="A258" s="78"/>
      <c r="B258" s="78"/>
      <c r="C258" s="78"/>
      <c r="D258" s="210" t="s">
        <v>250</v>
      </c>
      <c r="E258" s="211" t="str">
        <f>B159</f>
        <v>90th %ile</v>
      </c>
      <c r="F258" s="212">
        <f>E175</f>
        <v>198.95272495724396</v>
      </c>
      <c r="G258" s="213">
        <f>C175</f>
        <v>113.99991140050079</v>
      </c>
      <c r="H258" s="213">
        <f>D175</f>
        <v>56.701526612814533</v>
      </c>
      <c r="I258" s="214" t="s">
        <v>4</v>
      </c>
      <c r="J258" s="215">
        <f>endGameUsers*utxosPerUserEndGame</f>
        <v>800</v>
      </c>
    </row>
    <row r="259" spans="1:10" ht="15.75" x14ac:dyDescent="0.25">
      <c r="A259" s="78"/>
      <c r="D259" s="162" t="s">
        <v>172</v>
      </c>
      <c r="E259" s="77" t="str">
        <f>$B$24</f>
        <v>10th %ile</v>
      </c>
      <c r="F259" s="72">
        <f>I45</f>
        <v>264.96610204713045</v>
      </c>
      <c r="G259" s="91">
        <f>G45</f>
        <v>151.82557647300573</v>
      </c>
      <c r="H259" s="91">
        <f>H45</f>
        <v>75.515339083432167</v>
      </c>
      <c r="I259" s="95" t="s">
        <v>4</v>
      </c>
      <c r="J259" s="157">
        <f>endGameUsers*utxosPerUserEndGame</f>
        <v>800</v>
      </c>
    </row>
    <row r="260" spans="1:10" ht="15.75" x14ac:dyDescent="0.25">
      <c r="A260" s="78"/>
      <c r="B260" s="78"/>
      <c r="C260" s="78"/>
      <c r="D260" s="162" t="s">
        <v>180</v>
      </c>
      <c r="E260" s="77" t="str">
        <f>$B$24</f>
        <v>10th %ile</v>
      </c>
      <c r="F260" s="163">
        <f>E108</f>
        <v>480.68283892447852</v>
      </c>
      <c r="G260" s="91">
        <f>F108</f>
        <v>275.43126670372624</v>
      </c>
      <c r="H260" s="91">
        <f>G108</f>
        <v>136.99460909347641</v>
      </c>
      <c r="I260" s="95" t="s">
        <v>4</v>
      </c>
      <c r="J260" s="157">
        <f>endGameUsers*utxosPerUserEndGame</f>
        <v>800</v>
      </c>
    </row>
    <row r="261" spans="1:10" s="78" customFormat="1" x14ac:dyDescent="0.25"/>
    <row r="262" spans="1:10" s="244" customFormat="1" x14ac:dyDescent="0.25"/>
    <row r="263" spans="1:10" x14ac:dyDescent="0.25">
      <c r="A263" s="83" t="s">
        <v>225</v>
      </c>
    </row>
    <row r="265" spans="1:10" x14ac:dyDescent="0.25">
      <c r="A265" s="83" t="s">
        <v>119</v>
      </c>
    </row>
    <row r="266" spans="1:10" x14ac:dyDescent="0.25">
      <c r="A266" s="78"/>
      <c r="B266" s="78"/>
      <c r="C266" s="78"/>
      <c r="D266" s="78"/>
      <c r="E266" s="78"/>
      <c r="F266" s="78"/>
      <c r="G266" s="78"/>
      <c r="H266" s="180" t="s">
        <v>178</v>
      </c>
      <c r="I266" s="78"/>
      <c r="J266" s="78"/>
    </row>
    <row r="267" spans="1:10" x14ac:dyDescent="0.25">
      <c r="A267" s="78"/>
      <c r="B267" s="78"/>
      <c r="C267" s="78"/>
      <c r="D267" s="78"/>
      <c r="E267" s="180"/>
      <c r="F267" s="180"/>
      <c r="G267" s="180" t="s">
        <v>29</v>
      </c>
      <c r="H267" s="180" t="s">
        <v>179</v>
      </c>
      <c r="I267" s="180" t="s">
        <v>29</v>
      </c>
      <c r="J267" s="180" t="s">
        <v>29</v>
      </c>
    </row>
    <row r="268" spans="1:10" x14ac:dyDescent="0.25">
      <c r="A268" s="78"/>
      <c r="B268" s="78"/>
      <c r="C268" s="78"/>
      <c r="D268" s="78"/>
      <c r="E268" s="180" t="s">
        <v>64</v>
      </c>
      <c r="F268" s="180" t="s">
        <v>65</v>
      </c>
      <c r="G268" s="180" t="s">
        <v>30</v>
      </c>
      <c r="H268" s="180" t="s">
        <v>30</v>
      </c>
      <c r="I268" s="180" t="s">
        <v>87</v>
      </c>
      <c r="J268" s="180" t="s">
        <v>33</v>
      </c>
    </row>
    <row r="269" spans="1:10" ht="15.75" x14ac:dyDescent="0.25">
      <c r="A269" s="78"/>
      <c r="B269" s="78"/>
      <c r="C269" s="78"/>
      <c r="D269" s="210" t="s">
        <v>182</v>
      </c>
      <c r="E269" s="211" t="s">
        <v>76</v>
      </c>
      <c r="F269" s="217" t="s">
        <v>286</v>
      </c>
      <c r="G269" s="218" t="s">
        <v>234</v>
      </c>
      <c r="H269" s="218" t="s">
        <v>293</v>
      </c>
      <c r="I269" s="214" t="s">
        <v>4</v>
      </c>
      <c r="J269" s="215">
        <v>800</v>
      </c>
    </row>
    <row r="270" spans="1:10" ht="15.75" x14ac:dyDescent="0.25">
      <c r="A270" s="78"/>
      <c r="B270" s="78"/>
      <c r="C270" s="78"/>
      <c r="D270" s="210" t="s">
        <v>183</v>
      </c>
      <c r="E270" s="211" t="s">
        <v>76</v>
      </c>
      <c r="F270" s="219" t="s">
        <v>229</v>
      </c>
      <c r="G270" s="220" t="s">
        <v>288</v>
      </c>
      <c r="H270" s="220" t="s">
        <v>238</v>
      </c>
      <c r="I270" s="214" t="s">
        <v>4</v>
      </c>
      <c r="J270" s="215">
        <v>800</v>
      </c>
    </row>
    <row r="271" spans="1:10" ht="15.75" x14ac:dyDescent="0.25">
      <c r="A271" s="78"/>
      <c r="B271" s="78"/>
      <c r="C271" s="78"/>
      <c r="D271" s="210" t="s">
        <v>249</v>
      </c>
      <c r="E271" s="211" t="s">
        <v>75</v>
      </c>
      <c r="F271" s="290" t="str">
        <f>"3 - 15"</f>
        <v>3 - 15</v>
      </c>
      <c r="G271" s="280" t="s">
        <v>289</v>
      </c>
      <c r="H271" s="280" t="s">
        <v>294</v>
      </c>
      <c r="I271" s="214" t="s">
        <v>4</v>
      </c>
      <c r="J271" s="215">
        <v>800</v>
      </c>
    </row>
    <row r="272" spans="1:10" ht="15.75" x14ac:dyDescent="0.25">
      <c r="A272" s="78"/>
      <c r="B272" s="78"/>
      <c r="C272" s="78"/>
      <c r="D272" s="181" t="s">
        <v>158</v>
      </c>
      <c r="E272" s="77" t="s">
        <v>157</v>
      </c>
      <c r="F272" s="295" t="str">
        <f>"6 - 66"</f>
        <v>6 - 66</v>
      </c>
      <c r="G272" s="279" t="s">
        <v>237</v>
      </c>
      <c r="H272" s="279" t="s">
        <v>313</v>
      </c>
      <c r="I272" s="95" t="s">
        <v>4</v>
      </c>
      <c r="J272" s="157">
        <v>800</v>
      </c>
    </row>
    <row r="273" spans="1:10" ht="15.75" x14ac:dyDescent="0.25">
      <c r="A273" s="78"/>
      <c r="B273" s="78"/>
      <c r="C273" s="78"/>
      <c r="D273" s="181" t="s">
        <v>173</v>
      </c>
      <c r="E273" s="77" t="s">
        <v>76</v>
      </c>
      <c r="F273" s="205" t="s">
        <v>226</v>
      </c>
      <c r="G273" s="206" t="s">
        <v>290</v>
      </c>
      <c r="H273" s="206" t="s">
        <v>314</v>
      </c>
      <c r="I273" s="95" t="s">
        <v>4</v>
      </c>
      <c r="J273" s="157">
        <v>800</v>
      </c>
    </row>
    <row r="274" spans="1:10" ht="15.75" x14ac:dyDescent="0.25">
      <c r="A274" s="78"/>
      <c r="B274" s="78"/>
      <c r="C274" s="78"/>
      <c r="D274" s="181" t="s">
        <v>117</v>
      </c>
      <c r="E274" s="77" t="s">
        <v>76</v>
      </c>
      <c r="F274" s="205" t="s">
        <v>287</v>
      </c>
      <c r="G274" s="206" t="s">
        <v>236</v>
      </c>
      <c r="H274" s="206" t="s">
        <v>315</v>
      </c>
      <c r="I274" s="95" t="s">
        <v>4</v>
      </c>
      <c r="J274" s="157">
        <v>800</v>
      </c>
    </row>
    <row r="275" spans="1:10" ht="15.75" x14ac:dyDescent="0.25">
      <c r="A275" s="78"/>
      <c r="B275" s="78"/>
      <c r="C275" s="78"/>
      <c r="D275" s="210" t="s">
        <v>250</v>
      </c>
      <c r="E275" s="211" t="s">
        <v>75</v>
      </c>
      <c r="F275" s="221" t="s">
        <v>228</v>
      </c>
      <c r="G275" s="222" t="s">
        <v>291</v>
      </c>
      <c r="H275" s="222" t="s">
        <v>239</v>
      </c>
      <c r="I275" s="214" t="s">
        <v>4</v>
      </c>
      <c r="J275" s="215">
        <v>800</v>
      </c>
    </row>
    <row r="276" spans="1:10" ht="15.75" x14ac:dyDescent="0.25">
      <c r="A276" s="78"/>
      <c r="B276" s="78"/>
      <c r="C276" s="78"/>
      <c r="D276" s="181" t="s">
        <v>172</v>
      </c>
      <c r="E276" s="77" t="s">
        <v>76</v>
      </c>
      <c r="F276" s="291" t="str">
        <f>"27 - 63"</f>
        <v>27 - 63</v>
      </c>
      <c r="G276" s="292" t="s">
        <v>235</v>
      </c>
      <c r="H276" s="292" t="s">
        <v>295</v>
      </c>
      <c r="I276" s="95" t="s">
        <v>4</v>
      </c>
      <c r="J276" s="157">
        <v>800</v>
      </c>
    </row>
    <row r="277" spans="1:10" ht="15.75" x14ac:dyDescent="0.25">
      <c r="A277" s="78"/>
      <c r="B277" s="78"/>
      <c r="C277" s="78"/>
      <c r="D277" s="181" t="s">
        <v>180</v>
      </c>
      <c r="E277" s="77" t="s">
        <v>76</v>
      </c>
      <c r="F277" s="205" t="s">
        <v>227</v>
      </c>
      <c r="G277" s="206" t="s">
        <v>292</v>
      </c>
      <c r="H277" s="206" t="s">
        <v>296</v>
      </c>
      <c r="I277" s="95" t="s">
        <v>4</v>
      </c>
      <c r="J277" s="157">
        <v>800</v>
      </c>
    </row>
    <row r="279" spans="1:10" x14ac:dyDescent="0.25">
      <c r="A279" s="83" t="s">
        <v>120</v>
      </c>
    </row>
    <row r="280" spans="1:10" x14ac:dyDescent="0.25">
      <c r="A280" s="78"/>
      <c r="B280" s="78"/>
      <c r="C280" s="78"/>
      <c r="D280" s="78"/>
      <c r="E280" s="78"/>
      <c r="F280" s="78"/>
      <c r="G280" s="78"/>
      <c r="H280" s="180" t="s">
        <v>178</v>
      </c>
      <c r="I280" s="78"/>
      <c r="J280" s="78"/>
    </row>
    <row r="281" spans="1:10" x14ac:dyDescent="0.25">
      <c r="A281" s="78"/>
      <c r="B281" s="78"/>
      <c r="C281" s="78"/>
      <c r="D281" s="78"/>
      <c r="E281" s="180"/>
      <c r="F281" s="180"/>
      <c r="G281" s="180" t="s">
        <v>29</v>
      </c>
      <c r="H281" s="180" t="s">
        <v>179</v>
      </c>
      <c r="I281" s="180" t="s">
        <v>29</v>
      </c>
      <c r="J281" s="180" t="s">
        <v>29</v>
      </c>
    </row>
    <row r="282" spans="1:10" x14ac:dyDescent="0.25">
      <c r="A282" s="78"/>
      <c r="B282" s="78"/>
      <c r="C282" s="78"/>
      <c r="D282" s="78"/>
      <c r="E282" s="180" t="s">
        <v>64</v>
      </c>
      <c r="F282" s="180" t="s">
        <v>65</v>
      </c>
      <c r="G282" s="180" t="s">
        <v>30</v>
      </c>
      <c r="H282" s="180" t="s">
        <v>30</v>
      </c>
      <c r="I282" s="180" t="s">
        <v>87</v>
      </c>
      <c r="J282" s="180" t="s">
        <v>33</v>
      </c>
    </row>
    <row r="283" spans="1:10" ht="15.75" x14ac:dyDescent="0.25">
      <c r="A283" s="78"/>
      <c r="B283" s="78"/>
      <c r="C283" s="223"/>
      <c r="D283" s="210" t="s">
        <v>182</v>
      </c>
      <c r="E283" s="211" t="s">
        <v>76</v>
      </c>
      <c r="F283" s="219" t="s">
        <v>297</v>
      </c>
      <c r="G283" s="220" t="s">
        <v>282</v>
      </c>
      <c r="H283" s="220" t="s">
        <v>308</v>
      </c>
      <c r="I283" s="214" t="s">
        <v>4</v>
      </c>
      <c r="J283" s="215">
        <v>800</v>
      </c>
    </row>
    <row r="284" spans="1:10" ht="15.75" x14ac:dyDescent="0.25">
      <c r="A284" s="78"/>
      <c r="B284" s="78"/>
      <c r="C284" s="223"/>
      <c r="D284" s="210" t="s">
        <v>183</v>
      </c>
      <c r="E284" s="211" t="s">
        <v>76</v>
      </c>
      <c r="F284" s="219" t="s">
        <v>298</v>
      </c>
      <c r="G284" s="220" t="s">
        <v>303</v>
      </c>
      <c r="H284" s="220" t="s">
        <v>251</v>
      </c>
      <c r="I284" s="214" t="s">
        <v>4</v>
      </c>
      <c r="J284" s="215">
        <v>800</v>
      </c>
    </row>
    <row r="285" spans="1:10" ht="15.75" x14ac:dyDescent="0.25">
      <c r="A285" s="78"/>
      <c r="B285" s="78"/>
      <c r="C285" s="223"/>
      <c r="D285" s="210" t="s">
        <v>249</v>
      </c>
      <c r="E285" s="211" t="s">
        <v>75</v>
      </c>
      <c r="F285" s="293" t="s">
        <v>299</v>
      </c>
      <c r="G285" s="294" t="s">
        <v>304</v>
      </c>
      <c r="H285" s="294" t="s">
        <v>309</v>
      </c>
      <c r="I285" s="214" t="s">
        <v>4</v>
      </c>
      <c r="J285" s="215">
        <v>800</v>
      </c>
    </row>
    <row r="286" spans="1:10" ht="15.75" x14ac:dyDescent="0.25">
      <c r="A286" s="78"/>
      <c r="B286" s="78"/>
      <c r="C286" s="78"/>
      <c r="D286" s="181" t="s">
        <v>158</v>
      </c>
      <c r="E286" s="77" t="s">
        <v>157</v>
      </c>
      <c r="F286" s="208" t="s">
        <v>300</v>
      </c>
      <c r="G286" s="206" t="s">
        <v>283</v>
      </c>
      <c r="H286" s="206" t="s">
        <v>310</v>
      </c>
      <c r="I286" s="95" t="s">
        <v>4</v>
      </c>
      <c r="J286" s="157">
        <v>800</v>
      </c>
    </row>
    <row r="287" spans="1:10" ht="15.75" x14ac:dyDescent="0.25">
      <c r="A287" s="78"/>
      <c r="B287" s="78"/>
      <c r="C287" s="78"/>
      <c r="D287" s="181" t="s">
        <v>173</v>
      </c>
      <c r="E287" s="77" t="s">
        <v>76</v>
      </c>
      <c r="F287" s="205" t="s">
        <v>240</v>
      </c>
      <c r="G287" s="206" t="s">
        <v>305</v>
      </c>
      <c r="H287" s="206" t="s">
        <v>243</v>
      </c>
      <c r="I287" s="95" t="s">
        <v>4</v>
      </c>
      <c r="J287" s="157">
        <v>800</v>
      </c>
    </row>
    <row r="288" spans="1:10" ht="15.75" x14ac:dyDescent="0.25">
      <c r="A288" s="78"/>
      <c r="B288" s="78"/>
      <c r="C288" s="78"/>
      <c r="D288" s="181" t="s">
        <v>117</v>
      </c>
      <c r="E288" s="77" t="s">
        <v>76</v>
      </c>
      <c r="F288" s="205" t="s">
        <v>301</v>
      </c>
      <c r="G288" s="206" t="s">
        <v>284</v>
      </c>
      <c r="H288" s="206" t="s">
        <v>311</v>
      </c>
      <c r="I288" s="95" t="s">
        <v>4</v>
      </c>
      <c r="J288" s="157">
        <v>800</v>
      </c>
    </row>
    <row r="289" spans="1:10" ht="15.75" x14ac:dyDescent="0.25">
      <c r="A289" s="78"/>
      <c r="B289" s="78"/>
      <c r="C289" s="78"/>
      <c r="D289" s="210" t="s">
        <v>250</v>
      </c>
      <c r="E289" s="211" t="s">
        <v>75</v>
      </c>
      <c r="F289" s="224" t="s">
        <v>241</v>
      </c>
      <c r="G289" s="222" t="s">
        <v>306</v>
      </c>
      <c r="H289" s="222" t="s">
        <v>244</v>
      </c>
      <c r="I289" s="214" t="s">
        <v>4</v>
      </c>
      <c r="J289" s="215">
        <v>800</v>
      </c>
    </row>
    <row r="290" spans="1:10" ht="15.75" x14ac:dyDescent="0.25">
      <c r="A290" s="78"/>
      <c r="B290" s="78"/>
      <c r="C290" s="78"/>
      <c r="D290" s="181" t="s">
        <v>172</v>
      </c>
      <c r="E290" s="77" t="s">
        <v>76</v>
      </c>
      <c r="F290" s="207" t="s">
        <v>302</v>
      </c>
      <c r="G290" s="206" t="s">
        <v>285</v>
      </c>
      <c r="H290" s="206" t="s">
        <v>312</v>
      </c>
      <c r="I290" s="95" t="s">
        <v>4</v>
      </c>
      <c r="J290" s="157">
        <v>800</v>
      </c>
    </row>
    <row r="291" spans="1:10" ht="15.75" x14ac:dyDescent="0.25">
      <c r="A291" s="78"/>
      <c r="B291" s="78"/>
      <c r="C291" s="78"/>
      <c r="D291" s="181" t="s">
        <v>180</v>
      </c>
      <c r="E291" s="77" t="s">
        <v>76</v>
      </c>
      <c r="F291" s="205" t="s">
        <v>242</v>
      </c>
      <c r="G291" s="206" t="s">
        <v>307</v>
      </c>
      <c r="H291" s="206" t="s">
        <v>245</v>
      </c>
      <c r="I291" s="95" t="s">
        <v>4</v>
      </c>
      <c r="J291" s="157">
        <v>800</v>
      </c>
    </row>
  </sheetData>
  <mergeCells count="2">
    <mergeCell ref="A161:E161"/>
    <mergeCell ref="G161:K161"/>
  </mergeCells>
  <conditionalFormatting sqref="F235:F236 F252:F253">
    <cfRule type="cellIs" dxfId="7" priority="22" operator="lessThan">
      <formula>$D$229</formula>
    </cfRule>
  </conditionalFormatting>
  <conditionalFormatting sqref="F269:F270">
    <cfRule type="cellIs" dxfId="6" priority="16" operator="lessThan">
      <formula>$D$229</formula>
    </cfRule>
  </conditionalFormatting>
  <conditionalFormatting sqref="F283:F284">
    <cfRule type="cellIs" dxfId="5" priority="6" operator="lessThan">
      <formula>$D$229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0" operator="lessThan" id="{E6E5F9D4-A1B6-4F1F-AF34-20454BCA6EE4}">
            <xm:f>'Current Bitcoin'!$C$30*1000/'Current Bitcoin'!$C$21/'Current Bitcoin'!$A$26</xm:f>
            <x14:dxf>
              <fill>
                <patternFill>
                  <bgColor rgb="FFFFC7CE"/>
                </patternFill>
              </fill>
            </x14:dxf>
          </x14:cfRule>
          <xm:sqref>F237:F243 F254:F260 F276:F277 F272:F274 F285:F291</xm:sqref>
        </x14:conditionalFormatting>
        <x14:conditionalFormatting xmlns:xm="http://schemas.microsoft.com/office/excel/2006/main">
          <x14:cfRule type="cellIs" priority="21" operator="lessThan" id="{BF534268-13FE-4670-A168-B3AF843E34D3}">
            <xm:f>'Current Bitcoin'!$C$30/1000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H252:H253 H235:H236 H242:H243 H238:H240 H255:H257 H259:H260 H276:H277 H272:H274 H286:H288 H290:H291</xm:sqref>
        </x14:conditionalFormatting>
        <x14:conditionalFormatting xmlns:xm="http://schemas.microsoft.com/office/excel/2006/main">
          <x14:cfRule type="cellIs" priority="15" operator="lessThan" id="{051FA594-8A7D-4CA6-9D81-1D0F5CA74E09}">
            <xm:f>'Current Bitcoin'!$C$30/1000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H269:H270</xm:sqref>
        </x14:conditionalFormatting>
        <x14:conditionalFormatting xmlns:xm="http://schemas.microsoft.com/office/excel/2006/main">
          <x14:cfRule type="cellIs" priority="11" operator="lessThan" id="{1840795A-D04B-45D7-9771-6E23DED2C058}">
            <xm:f>'Current Bitcoin'!$C$30/1000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H245</xm:sqref>
        </x14:conditionalFormatting>
        <x14:conditionalFormatting xmlns:xm="http://schemas.microsoft.com/office/excel/2006/main">
          <x14:cfRule type="cellIs" priority="5" operator="lessThan" id="{BD8B0849-C254-435B-8285-E3BB5C04BF30}">
            <xm:f>'Current Bitcoin'!$C$30/1000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H283:H284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119</vt:i4>
      </vt:variant>
    </vt:vector>
  </HeadingPairs>
  <TitlesOfParts>
    <vt:vector size="122" baseType="lpstr">
      <vt:lpstr>Current Bitcoin</vt:lpstr>
      <vt:lpstr>Near-future Bitcoin</vt:lpstr>
      <vt:lpstr>Farther Future Bitcoin</vt:lpstr>
      <vt:lpstr>assumevalidBlockTime</vt:lpstr>
      <vt:lpstr>assumevalidSpeedup</vt:lpstr>
      <vt:lpstr>avgBandwidth10p</vt:lpstr>
      <vt:lpstr>avgBandwidth10pf</vt:lpstr>
      <vt:lpstr>avgBandwidth1pf</vt:lpstr>
      <vt:lpstr>avgBandwidth90p</vt:lpstr>
      <vt:lpstr>avgBandwidth90pf</vt:lpstr>
      <vt:lpstr>avgHops</vt:lpstr>
      <vt:lpstr>avgHops19</vt:lpstr>
      <vt:lpstr>avgHops20</vt:lpstr>
      <vt:lpstr>avgLowRelayBandwidth</vt:lpstr>
      <vt:lpstr>avgLowRelayVerification</vt:lpstr>
      <vt:lpstr>avgRelayBandwidth</vt:lpstr>
      <vt:lpstr>avgRelayValidationSpeed</vt:lpstr>
      <vt:lpstr>avgSyncBandwidth10p</vt:lpstr>
      <vt:lpstr>avgSyncBandwidth10pf</vt:lpstr>
      <vt:lpstr>avgSyncBandwidth1pf</vt:lpstr>
      <vt:lpstr>avgSyncBandwidth90p</vt:lpstr>
      <vt:lpstr>avgSyncBandwidth90pf</vt:lpstr>
      <vt:lpstr>avgTrSize</vt:lpstr>
      <vt:lpstr>bandwidth10p</vt:lpstr>
      <vt:lpstr>bandwidth10pf</vt:lpstr>
      <vt:lpstr>bandwidth1pf</vt:lpstr>
      <vt:lpstr>bandwidth3</vt:lpstr>
      <vt:lpstr>bandwidth90p</vt:lpstr>
      <vt:lpstr>bandwidth90pf</vt:lpstr>
      <vt:lpstr>bandwidthGrowth</vt:lpstr>
      <vt:lpstr>compactBlockCompactedness</vt:lpstr>
      <vt:lpstr>cpuGrowth</vt:lpstr>
      <vt:lpstr>curChainSize</vt:lpstr>
      <vt:lpstr>curMaxBlocksize</vt:lpstr>
      <vt:lpstr>curUsers</vt:lpstr>
      <vt:lpstr>disk10p</vt:lpstr>
      <vt:lpstr>disk10pf</vt:lpstr>
      <vt:lpstr>disk1pf</vt:lpstr>
      <vt:lpstr>disk3</vt:lpstr>
      <vt:lpstr>disk90p</vt:lpstr>
      <vt:lpstr>disk90pf</vt:lpstr>
      <vt:lpstr>diskGrowth</vt:lpstr>
      <vt:lpstr>endGameEmergencyUsage</vt:lpstr>
      <vt:lpstr>endGameTransactionSize</vt:lpstr>
      <vt:lpstr>endGameUsers</vt:lpstr>
      <vt:lpstr>futureUsers</vt:lpstr>
      <vt:lpstr>historicalSyncTime10pf</vt:lpstr>
      <vt:lpstr>historicalSyncTime1pf</vt:lpstr>
      <vt:lpstr>historicalSyncTime90pf</vt:lpstr>
      <vt:lpstr>invSize</vt:lpstr>
      <vt:lpstr>KBperGB</vt:lpstr>
      <vt:lpstr>latency10p</vt:lpstr>
      <vt:lpstr>latency10pf</vt:lpstr>
      <vt:lpstr>latency1pf</vt:lpstr>
      <vt:lpstr>latency90p</vt:lpstr>
      <vt:lpstr>latency90pf</vt:lpstr>
      <vt:lpstr>latencyGrowth</vt:lpstr>
      <vt:lpstr>lightspeedAvgLatency</vt:lpstr>
      <vt:lpstr>maximumMinerAdvantage</vt:lpstr>
      <vt:lpstr>maximumMinerAdvantage2</vt:lpstr>
      <vt:lpstr>maximumMinerAdvantagea</vt:lpstr>
      <vt:lpstr>mbToGB</vt:lpstr>
      <vt:lpstr>memory10p</vt:lpstr>
      <vt:lpstr>memory10pf</vt:lpstr>
      <vt:lpstr>memory1pf</vt:lpstr>
      <vt:lpstr>memory3</vt:lpstr>
      <vt:lpstr>memory90p</vt:lpstr>
      <vt:lpstr>memory90pf</vt:lpstr>
      <vt:lpstr>memoryGrowth</vt:lpstr>
      <vt:lpstr>minLastMileLatency</vt:lpstr>
      <vt:lpstr>minPublicNodeConnections</vt:lpstr>
      <vt:lpstr>missingTransactionRate</vt:lpstr>
      <vt:lpstr>neutrinoFilterRatio</vt:lpstr>
      <vt:lpstr>ongoingResourceRatio10p</vt:lpstr>
      <vt:lpstr>ongoingResourceRatio10pf</vt:lpstr>
      <vt:lpstr>ongoingResourceRatio1pf</vt:lpstr>
      <vt:lpstr>ongoingResourceRatio90p</vt:lpstr>
      <vt:lpstr>ongoingResourceRatio90pf</vt:lpstr>
      <vt:lpstr>outgoingConnections10p</vt:lpstr>
      <vt:lpstr>outgoingConnections10pf</vt:lpstr>
      <vt:lpstr>outgoingConnections1pf</vt:lpstr>
      <vt:lpstr>outgoingConnections90p</vt:lpstr>
      <vt:lpstr>outgoingConnections90pf</vt:lpstr>
      <vt:lpstr>percentSPVNodes</vt:lpstr>
      <vt:lpstr>privateNodePercent</vt:lpstr>
      <vt:lpstr>proximityFavoringFactor</vt:lpstr>
      <vt:lpstr>proximityFavoringFactor2</vt:lpstr>
      <vt:lpstr>publicNodeConnections10pf</vt:lpstr>
      <vt:lpstr>publicNodeConnections1pf</vt:lpstr>
      <vt:lpstr>publicNodeConnections90pf</vt:lpstr>
      <vt:lpstr>publicNodePercent</vt:lpstr>
      <vt:lpstr>recentSyncTime10pf</vt:lpstr>
      <vt:lpstr>recentSyncTime1pf</vt:lpstr>
      <vt:lpstr>recentSyncTime90pf</vt:lpstr>
      <vt:lpstr>resourcePercent3</vt:lpstr>
      <vt:lpstr>secondsPerBlock</vt:lpstr>
      <vt:lpstr>secondsPerYear</vt:lpstr>
      <vt:lpstr>sybilPercenta</vt:lpstr>
      <vt:lpstr>sybilPercentb</vt:lpstr>
      <vt:lpstr>syncResourceRatio10p</vt:lpstr>
      <vt:lpstr>syncResourceRatio10pf</vt:lpstr>
      <vt:lpstr>syncResourceRatio1pf</vt:lpstr>
      <vt:lpstr>syncResourceRatio90p</vt:lpstr>
      <vt:lpstr>syncResourceRatio90pf</vt:lpstr>
      <vt:lpstr>syncTime10p</vt:lpstr>
      <vt:lpstr>syncTime3</vt:lpstr>
      <vt:lpstr>syncTime90p</vt:lpstr>
      <vt:lpstr>targetMinerPercentHashpower</vt:lpstr>
      <vt:lpstr>targetMinerPercentHashpower2</vt:lpstr>
      <vt:lpstr>targetMinerPercentHashpowera</vt:lpstr>
      <vt:lpstr>throughput3</vt:lpstr>
      <vt:lpstr>utreexoHashSize</vt:lpstr>
      <vt:lpstr>utxoExpand</vt:lpstr>
      <vt:lpstr>utxoGrowth</vt:lpstr>
      <vt:lpstr>utxoMemoryPercent</vt:lpstr>
      <vt:lpstr>utxoSize</vt:lpstr>
      <vt:lpstr>utxosPerUserEndGame</vt:lpstr>
      <vt:lpstr>validationRate10p</vt:lpstr>
      <vt:lpstr>validationRate10pf</vt:lpstr>
      <vt:lpstr>validationRate1pf</vt:lpstr>
      <vt:lpstr>validationRate90p</vt:lpstr>
      <vt:lpstr>validationRate90pf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fresheneesz</dc:creator>
  <cp:lastModifiedBy>fresheneesz</cp:lastModifiedBy>
  <dcterms:created xsi:type="dcterms:W3CDTF">2019-05-31T04:37:43Z</dcterms:created>
  <dcterms:modified xsi:type="dcterms:W3CDTF">2019-09-29T19:27:19Z</dcterms:modified>
</cp:coreProperties>
</file>