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11880" activeTab="1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Bitcoin'!#REF!</definedName>
    <definedName name="avgHops">'Current Bitcoin'!$E$318</definedName>
    <definedName name="avgHops19">'Current Bitcoin'!$C$358</definedName>
    <definedName name="avgHops20">'Future Bitcoin'!$F$201</definedName>
    <definedName name="avgLatencyPerHop">'Current Bitcoin'!#REF!</definedName>
    <definedName name="avgMerkleProofSizeEndGame">'Future Bitcoin'!#REF!</definedName>
    <definedName name="avgRelayBandwidth">'Current Bitcoin'!$F$318</definedName>
    <definedName name="avgRelayBandwidth20">'Future Bitcoin'!#REF!</definedName>
    <definedName name="avgTrSize">'Current Bitcoin'!$A$15</definedName>
    <definedName name="bandwidth1">'Current Bitcoin'!$B$53</definedName>
    <definedName name="bandwidth10">'Future Bitcoin'!$B$36</definedName>
    <definedName name="Bandwidth10thP2">'Future Bitcoin'!$B$195</definedName>
    <definedName name="bandwidth13">'Future Bitcoin'!#REF!</definedName>
    <definedName name="bandwidth15">'Future Bitcoin'!$B$120</definedName>
    <definedName name="bandwidth2">'Current Bitcoin'!$B$77</definedName>
    <definedName name="bandwidth3">'Current Bitcoin'!$B$101</definedName>
    <definedName name="bandwidth4">'Future Bitcoin'!#REF!</definedName>
    <definedName name="bandwidth8">'Current Bitcoin'!$B$165</definedName>
    <definedName name="bandwidth8p9">'Current Bitcoin'!$B$189</definedName>
    <definedName name="bandwidth9">'Future Bitcoin'!$B$12</definedName>
    <definedName name="Bandwidth90thP1">'Current Bitcoin'!$B$313</definedName>
    <definedName name="bandwidthGrowth">'Current Bitcoin'!$B$6</definedName>
    <definedName name="compactBlockCompactedness">'Current Bitcoin'!$C$24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Bitcoin'!$C$53</definedName>
    <definedName name="disk2">'Current Bitcoin'!$C$77</definedName>
    <definedName name="disk3">'Current Bitcoin'!$C$101</definedName>
    <definedName name="disk6">'Current Bitcoin'!$C$237</definedName>
    <definedName name="disk7">'Current Bitcoin'!$C$261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futureUsers">'Future Bitcoin'!$J$201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Bitcoin'!$A$19</definedName>
    <definedName name="KBperGB">'Current Bitcoin'!$E$10</definedName>
    <definedName name="Latency10thP1">'Current Bitcoin'!$F$312</definedName>
    <definedName name="Latency10thP2">'Future Bitcoin'!$F$195</definedName>
    <definedName name="Latency1stP2">'Future Bitcoin'!$F$194</definedName>
    <definedName name="Latency90thP1">'Current Bitcoin'!$F$313</definedName>
    <definedName name="latencyGrowth">'Current Bitcoin'!$F$6</definedName>
    <definedName name="lightspeedAvgLatency">'Current Bitcoin'!$F$24</definedName>
    <definedName name="maximumMinerAdvantage">'Current Bitcoin'!$C$318</definedName>
    <definedName name="maximumMinerAdvantage2">'Future Bitcoin'!$D$201</definedName>
    <definedName name="maximumMinerAdvantagea">'Current Bitcoin'!$H$358</definedName>
    <definedName name="mbToGB">'Current Bitcoin'!$D$10</definedName>
    <definedName name="memory1">'Current Bitcoin'!$D$53</definedName>
    <definedName name="memory15">'Future Bitcoin'!$D$120</definedName>
    <definedName name="memory2">'Current Bitcoin'!$D$77</definedName>
    <definedName name="memory3">'Current Bitcoin'!$D$101</definedName>
    <definedName name="memory6">'Current Bitcoin'!$D$237</definedName>
    <definedName name="memory6p5">'Current Bitcoin'!$D$286</definedName>
    <definedName name="memoryGrowth">'Current Bitcoin'!$D$6</definedName>
    <definedName name="minLastMileLatency">'Current Bitcoin'!$E$24</definedName>
    <definedName name="minPublicNodeConnections">'Current Bitcoin'!$H$4</definedName>
    <definedName name="missingTransactionRate">'Current Bitcoin'!$D$24</definedName>
    <definedName name="ongoingResourcePercent10thP2">'Future Bitcoin'!$L$195</definedName>
    <definedName name="ongoingResourcePercent6">'Current Bitcoin'!$K$237</definedName>
    <definedName name="ongoingResourcePercent6p5">'Current Bitcoin'!$K$286</definedName>
    <definedName name="ongoingResourcePercent7">'Current Bitcoin'!$K$261</definedName>
    <definedName name="ongoingResourcePercent90thP1">'Current Bitcoin'!$K$313</definedName>
    <definedName name="ongoingResourcePercentage15">'Future Bitcoin'!$L$120</definedName>
    <definedName name="ongoingResourcePercentage4">'Future Bitcoin'!#REF!</definedName>
    <definedName name="ongoingResourcePercentage5">'Current Bitcoin'!$K$213</definedName>
    <definedName name="ongoingResourcePercentage8">'Current Bitcoin'!$K$165</definedName>
    <definedName name="ongoingResourcePercentage8p9">'Current Bitcoin'!$K$189</definedName>
    <definedName name="outgoingConnections">'Current Bitcoin'!$G$165</definedName>
    <definedName name="outgoingConnections9">'Current Bitcoin'!$G$189</definedName>
    <definedName name="privateConnections10tha">'Current Bitcoin'!#REF!</definedName>
    <definedName name="privateConnections10thb">'Current Bitcoin'!$G$312</definedName>
    <definedName name="privateConnections10thc">'Future Bitcoin'!$G$195</definedName>
    <definedName name="privateConnections1sta">'Current Bitcoin'!#REF!</definedName>
    <definedName name="privateConnections1stb">'Current Bitcoin'!$G$311</definedName>
    <definedName name="privateConnections1stc">'Future Bitcoin'!$G$194</definedName>
    <definedName name="privateConnections90tha">'Current Bitcoin'!#REF!</definedName>
    <definedName name="privateConnections90thb">'Current Bitcoin'!$G$313</definedName>
    <definedName name="privateConnections90thc">'Future Bitcoin'!$G$196</definedName>
    <definedName name="privateNodePercent">'Current Bitcoin'!$B$24</definedName>
    <definedName name="proximityFavoringFactor">'Current Bitcoin'!$G$318</definedName>
    <definedName name="proximityFavoringFactor2">'Future Bitcoin'!$H$201</definedName>
    <definedName name="publicConnections10tha">'Current Bitcoin'!#REF!</definedName>
    <definedName name="publicConnections10thb">'Current Bitcoin'!$H$312</definedName>
    <definedName name="publicConnections10thc">'Future Bitcoin'!$H$195</definedName>
    <definedName name="publicConnections1sta">'Current Bitcoin'!#REF!</definedName>
    <definedName name="publicConnections1stb">'Current Bitcoin'!$H$311</definedName>
    <definedName name="publicConnections1stc">'Future Bitcoin'!$H$194</definedName>
    <definedName name="publicConnections8">'Current Bitcoin'!$H$165</definedName>
    <definedName name="publicConnections9">'Current Bitcoin'!$H$189</definedName>
    <definedName name="publicConnections90tha">'Current Bitcoin'!#REF!</definedName>
    <definedName name="publicConnections90thb">'Current Bitcoin'!$H$313</definedName>
    <definedName name="publicConnections90thc">'Future Bitcoin'!$H$196</definedName>
    <definedName name="publicNodePercent">'Current Bitcoin'!$A$24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Bitcoin'!$J$53</definedName>
    <definedName name="resourcePercent2">'Current Bitcoin'!$J$77</definedName>
    <definedName name="resourcePercent3">'Current Bitcoin'!$J$101</definedName>
    <definedName name="secondsPerBlock">'Current Bitcoin'!$C$10</definedName>
    <definedName name="secondsPerYear">'Current Bitcoin'!$B$10</definedName>
    <definedName name="sybilPercenta">'Current Bitcoin'!$A$358</definedName>
    <definedName name="sybilPercentb">'Future Bitcoin'!$I$201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Bitcoin'!$I$53</definedName>
    <definedName name="syncTime2">'Current Bitcoin'!$I$77</definedName>
    <definedName name="syncTime3">'Current Bitcoin'!$I$101</definedName>
    <definedName name="syncTime8">'Future Bitcoin'!$I$12</definedName>
    <definedName name="targetMinerPercentHashpower">'Current Bitcoin'!$B$318</definedName>
    <definedName name="targetMinerPercentHashpower2">'Future Bitcoin'!$C$201</definedName>
    <definedName name="targetMinerPercentHashpowera">'Current Bitcoin'!$G$358</definedName>
    <definedName name="throughput1">'Current Bitcoin'!$E$53</definedName>
    <definedName name="Throughput10thP1">'Current Bitcoin'!$E$312</definedName>
    <definedName name="Throughput10thP2">'Future Bitcoin'!$E$195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Bitcoin'!$E$77</definedName>
    <definedName name="throughput3">'Current Bitcoin'!$E$101</definedName>
    <definedName name="throughput4">'Future Bitcoin'!#REF!</definedName>
    <definedName name="throughput5">'Current Bitcoin'!$E$213</definedName>
    <definedName name="Throughput90thP1">'Current Bitcoin'!$E$313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C324" i="1" l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2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63" i="1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06" i="2"/>
  <c r="E318" i="1"/>
  <c r="D318" i="1"/>
  <c r="G235" i="2"/>
  <c r="G234" i="2"/>
  <c r="G233" i="2"/>
  <c r="G232" i="2"/>
  <c r="G231" i="2"/>
  <c r="G230" i="2"/>
  <c r="G229" i="2"/>
  <c r="G228" i="2"/>
  <c r="G227" i="2"/>
  <c r="G226" i="2"/>
  <c r="G225" i="2"/>
  <c r="E313" i="1"/>
  <c r="B313" i="1"/>
  <c r="C313" i="1"/>
  <c r="D313" i="1"/>
  <c r="H254" i="2"/>
  <c r="H247" i="2"/>
  <c r="H246" i="2"/>
  <c r="H256" i="2"/>
  <c r="H257" i="2"/>
  <c r="H255" i="2"/>
  <c r="H248" i="2"/>
  <c r="H249" i="2"/>
  <c r="H3" i="2"/>
  <c r="H194" i="2" s="1"/>
  <c r="H4" i="2"/>
  <c r="L194" i="2"/>
  <c r="K194" i="2"/>
  <c r="J194" i="2"/>
  <c r="I194" i="2"/>
  <c r="G194" i="2"/>
  <c r="F194" i="2"/>
  <c r="E194" i="2"/>
  <c r="D194" i="2"/>
  <c r="C194" i="2"/>
  <c r="B194" i="2"/>
  <c r="L196" i="2"/>
  <c r="K196" i="2"/>
  <c r="J196" i="2"/>
  <c r="I196" i="2"/>
  <c r="H196" i="2"/>
  <c r="G196" i="2"/>
  <c r="F196" i="2"/>
  <c r="E196" i="2"/>
  <c r="D196" i="2"/>
  <c r="C196" i="2"/>
  <c r="B196" i="2"/>
  <c r="L195" i="2"/>
  <c r="J195" i="2"/>
  <c r="I195" i="2"/>
  <c r="G195" i="2"/>
  <c r="F195" i="2"/>
  <c r="E195" i="2"/>
  <c r="D195" i="2"/>
  <c r="C195" i="2"/>
  <c r="B195" i="2"/>
  <c r="G201" i="2" s="1"/>
  <c r="A196" i="2"/>
  <c r="A194" i="2"/>
  <c r="F24" i="1"/>
  <c r="J14" i="1"/>
  <c r="J13" i="1"/>
  <c r="J12" i="1"/>
  <c r="A313" i="1" l="1"/>
  <c r="F318" i="1"/>
  <c r="F313" i="1"/>
  <c r="G313" i="1"/>
  <c r="H313" i="1"/>
  <c r="I313" i="1"/>
  <c r="J313" i="1"/>
  <c r="K313" i="1"/>
  <c r="G382" i="1" l="1"/>
  <c r="G392" i="1"/>
  <c r="G388" i="1"/>
  <c r="G384" i="1"/>
  <c r="G344" i="1"/>
  <c r="G352" i="1"/>
  <c r="G345" i="1"/>
  <c r="G346" i="1"/>
  <c r="G391" i="1"/>
  <c r="G387" i="1"/>
  <c r="G347" i="1"/>
  <c r="G390" i="1"/>
  <c r="G386" i="1"/>
  <c r="G348" i="1"/>
  <c r="G349" i="1"/>
  <c r="G389" i="1"/>
  <c r="G385" i="1"/>
  <c r="G343" i="1"/>
  <c r="G351" i="1"/>
  <c r="G342" i="1"/>
  <c r="G383" i="1"/>
  <c r="G350" i="1"/>
  <c r="G312" i="1"/>
  <c r="G31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J11" i="1"/>
  <c r="L11" i="1"/>
  <c r="L12" i="1"/>
  <c r="L13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F77" i="1" l="1"/>
  <c r="F101" i="1"/>
  <c r="B312" i="1"/>
  <c r="C24" i="1" l="1"/>
  <c r="K311" i="1"/>
  <c r="J311" i="1"/>
  <c r="I311" i="1"/>
  <c r="F311" i="1"/>
  <c r="E311" i="1"/>
  <c r="D311" i="1"/>
  <c r="C311" i="1"/>
  <c r="A311" i="1"/>
  <c r="B311" i="1"/>
  <c r="K312" i="1"/>
  <c r="J312" i="1"/>
  <c r="I312" i="1"/>
  <c r="F312" i="1"/>
  <c r="E312" i="1"/>
  <c r="D312" i="1"/>
  <c r="C312" i="1"/>
  <c r="L120" i="2"/>
  <c r="J120" i="2"/>
  <c r="I120" i="2"/>
  <c r="G120" i="2"/>
  <c r="F120" i="2"/>
  <c r="E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61" i="1"/>
  <c r="J261" i="1"/>
  <c r="I261" i="1"/>
  <c r="G261" i="1"/>
  <c r="F261" i="1"/>
  <c r="E261" i="1"/>
  <c r="D261" i="1"/>
  <c r="C261" i="1"/>
  <c r="B261" i="1"/>
  <c r="K189" i="1"/>
  <c r="J189" i="1"/>
  <c r="I189" i="1"/>
  <c r="G189" i="1"/>
  <c r="F189" i="1"/>
  <c r="E189" i="1"/>
  <c r="D189" i="1"/>
  <c r="C189" i="1"/>
  <c r="B189" i="1"/>
  <c r="K286" i="1"/>
  <c r="J286" i="1"/>
  <c r="I286" i="1"/>
  <c r="H286" i="1"/>
  <c r="G286" i="1"/>
  <c r="F286" i="1"/>
  <c r="E286" i="1"/>
  <c r="D286" i="1"/>
  <c r="C286" i="1"/>
  <c r="B286" i="1"/>
  <c r="K237" i="1"/>
  <c r="J237" i="1"/>
  <c r="I237" i="1"/>
  <c r="H237" i="1"/>
  <c r="G237" i="1"/>
  <c r="F237" i="1"/>
  <c r="E237" i="1"/>
  <c r="D237" i="1"/>
  <c r="C237" i="1"/>
  <c r="B237" i="1"/>
  <c r="K213" i="1"/>
  <c r="J213" i="1"/>
  <c r="I213" i="1"/>
  <c r="H213" i="1"/>
  <c r="G213" i="1"/>
  <c r="F213" i="1"/>
  <c r="E213" i="1"/>
  <c r="D213" i="1"/>
  <c r="C213" i="1"/>
  <c r="B213" i="1"/>
  <c r="K165" i="1"/>
  <c r="J165" i="1"/>
  <c r="I165" i="1"/>
  <c r="H165" i="1"/>
  <c r="G165" i="1"/>
  <c r="F165" i="1"/>
  <c r="E165" i="1"/>
  <c r="D165" i="1"/>
  <c r="C165" i="1"/>
  <c r="B165" i="1"/>
  <c r="K101" i="1"/>
  <c r="J101" i="1"/>
  <c r="I101" i="1"/>
  <c r="H101" i="1"/>
  <c r="G101" i="1"/>
  <c r="E101" i="1"/>
  <c r="D101" i="1"/>
  <c r="C101" i="1"/>
  <c r="B101" i="1"/>
  <c r="K77" i="1"/>
  <c r="J77" i="1"/>
  <c r="I77" i="1"/>
  <c r="H77" i="1"/>
  <c r="G77" i="1"/>
  <c r="E77" i="1"/>
  <c r="D77" i="1"/>
  <c r="C77" i="1"/>
  <c r="B77" i="1"/>
  <c r="K53" i="1"/>
  <c r="J53" i="1"/>
  <c r="I53" i="1"/>
  <c r="H53" i="1"/>
  <c r="G53" i="1"/>
  <c r="F53" i="1"/>
  <c r="E53" i="1"/>
  <c r="D53" i="1"/>
  <c r="C53" i="1"/>
  <c r="B53" i="1"/>
  <c r="J232" i="2" l="1"/>
  <c r="J230" i="2"/>
  <c r="J225" i="2"/>
  <c r="J235" i="2"/>
  <c r="J231" i="2"/>
  <c r="J227" i="2"/>
  <c r="J226" i="2"/>
  <c r="J233" i="2"/>
  <c r="J229" i="2"/>
  <c r="J234" i="2"/>
  <c r="J228" i="2"/>
  <c r="D257" i="2"/>
  <c r="D256" i="2"/>
  <c r="D255" i="2"/>
  <c r="D249" i="2"/>
  <c r="D248" i="2"/>
  <c r="D246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C130" i="2"/>
  <c r="K4" i="2"/>
  <c r="K195" i="2" s="1"/>
  <c r="K120" i="2" l="1"/>
  <c r="D400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D291" i="1"/>
  <c r="B291" i="1"/>
  <c r="C33" i="1"/>
  <c r="D241" i="2"/>
  <c r="B152" i="2"/>
  <c r="C152" i="2" l="1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84" i="2" l="1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64" i="2" l="1"/>
  <c r="C156" i="2"/>
  <c r="C194" i="1" l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93" i="1"/>
  <c r="C16" i="2"/>
  <c r="H195" i="2"/>
  <c r="E201" i="2" s="1"/>
  <c r="F201" i="2" s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9" i="1"/>
  <c r="B217" i="1"/>
  <c r="E403" i="1" s="1"/>
  <c r="D404" i="1"/>
  <c r="D401" i="1"/>
  <c r="D396" i="1"/>
  <c r="D397" i="1"/>
  <c r="H4" i="1"/>
  <c r="D402" i="1"/>
  <c r="D403" i="1"/>
  <c r="D399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41" i="1"/>
  <c r="H404" i="1" s="1"/>
  <c r="B265" i="1"/>
  <c r="B266" i="1" s="1"/>
  <c r="C266" i="1" s="1"/>
  <c r="C241" i="1"/>
  <c r="G401" i="1"/>
  <c r="E401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C219" i="2" l="1"/>
  <c r="C207" i="2"/>
  <c r="C211" i="2"/>
  <c r="C215" i="2"/>
  <c r="C220" i="2"/>
  <c r="C209" i="2"/>
  <c r="C206" i="2"/>
  <c r="C218" i="2"/>
  <c r="C216" i="2"/>
  <c r="C210" i="2"/>
  <c r="C217" i="2"/>
  <c r="C214" i="2"/>
  <c r="C221" i="2"/>
  <c r="C213" i="2"/>
  <c r="C212" i="2"/>
  <c r="C208" i="2"/>
  <c r="H120" i="2"/>
  <c r="H312" i="1"/>
  <c r="H261" i="1"/>
  <c r="H189" i="1"/>
  <c r="B194" i="1" s="1"/>
  <c r="H3" i="1"/>
  <c r="C265" i="1"/>
  <c r="D15" i="1"/>
  <c r="D208" i="2" l="1"/>
  <c r="E208" i="2"/>
  <c r="D218" i="2"/>
  <c r="E218" i="2"/>
  <c r="D213" i="2"/>
  <c r="F213" i="2" s="1"/>
  <c r="E213" i="2"/>
  <c r="D209" i="2"/>
  <c r="E209" i="2"/>
  <c r="D221" i="2"/>
  <c r="E221" i="2"/>
  <c r="E220" i="2"/>
  <c r="D220" i="2"/>
  <c r="F220" i="2" s="1"/>
  <c r="E206" i="2"/>
  <c r="D206" i="2"/>
  <c r="E215" i="2"/>
  <c r="D215" i="2"/>
  <c r="D214" i="2"/>
  <c r="E214" i="2"/>
  <c r="E211" i="2"/>
  <c r="D211" i="2"/>
  <c r="F211" i="2" s="1"/>
  <c r="D217" i="2"/>
  <c r="E217" i="2"/>
  <c r="D210" i="2"/>
  <c r="E210" i="2"/>
  <c r="D207" i="2"/>
  <c r="E207" i="2"/>
  <c r="E212" i="2"/>
  <c r="D212" i="2"/>
  <c r="F212" i="2" s="1"/>
  <c r="D216" i="2"/>
  <c r="F216" i="2" s="1"/>
  <c r="F254" i="2" s="1"/>
  <c r="E216" i="2"/>
  <c r="D219" i="2"/>
  <c r="E219" i="2"/>
  <c r="B358" i="1"/>
  <c r="C358" i="1"/>
  <c r="H311" i="1"/>
  <c r="B198" i="1"/>
  <c r="B200" i="1"/>
  <c r="B195" i="1"/>
  <c r="B193" i="1"/>
  <c r="B202" i="1"/>
  <c r="B204" i="1"/>
  <c r="B206" i="1"/>
  <c r="B208" i="1"/>
  <c r="B199" i="1"/>
  <c r="B205" i="1"/>
  <c r="B203" i="1"/>
  <c r="B197" i="1"/>
  <c r="B207" i="1"/>
  <c r="B201" i="1"/>
  <c r="B196" i="1"/>
  <c r="C294" i="1"/>
  <c r="C291" i="1"/>
  <c r="H400" i="1" s="1"/>
  <c r="D266" i="1"/>
  <c r="B267" i="1" s="1"/>
  <c r="C267" i="1" s="1"/>
  <c r="G399" i="1"/>
  <c r="C292" i="1"/>
  <c r="E291" i="1"/>
  <c r="C295" i="1"/>
  <c r="C299" i="1"/>
  <c r="C306" i="1"/>
  <c r="C298" i="1"/>
  <c r="C302" i="1"/>
  <c r="C301" i="1"/>
  <c r="C305" i="1"/>
  <c r="C297" i="1"/>
  <c r="C304" i="1"/>
  <c r="C296" i="1"/>
  <c r="C303" i="1"/>
  <c r="C293" i="1"/>
  <c r="C300" i="1"/>
  <c r="C15" i="1"/>
  <c r="E10" i="1"/>
  <c r="C10" i="1"/>
  <c r="D10" i="1"/>
  <c r="B10" i="1"/>
  <c r="B64" i="2" s="1"/>
  <c r="F207" i="2" l="1"/>
  <c r="F221" i="2"/>
  <c r="F206" i="2"/>
  <c r="F247" i="2" s="1"/>
  <c r="F208" i="2"/>
  <c r="I208" i="2" s="1"/>
  <c r="F215" i="2"/>
  <c r="F218" i="2"/>
  <c r="F219" i="2"/>
  <c r="F210" i="2"/>
  <c r="F209" i="2"/>
  <c r="G206" i="2"/>
  <c r="E247" i="2" s="1"/>
  <c r="I206" i="2"/>
  <c r="H216" i="2"/>
  <c r="G216" i="2"/>
  <c r="E254" i="2" s="1"/>
  <c r="I216" i="2"/>
  <c r="F217" i="2"/>
  <c r="H213" i="2"/>
  <c r="G213" i="2"/>
  <c r="I213" i="2"/>
  <c r="I215" i="2"/>
  <c r="G215" i="2"/>
  <c r="H215" i="2"/>
  <c r="H211" i="2"/>
  <c r="G211" i="2"/>
  <c r="I211" i="2"/>
  <c r="G220" i="2"/>
  <c r="H220" i="2"/>
  <c r="I220" i="2"/>
  <c r="G218" i="2"/>
  <c r="H218" i="2"/>
  <c r="I218" i="2"/>
  <c r="H212" i="2"/>
  <c r="G212" i="2"/>
  <c r="I212" i="2"/>
  <c r="G207" i="2"/>
  <c r="H207" i="2"/>
  <c r="I207" i="2"/>
  <c r="H221" i="2"/>
  <c r="G221" i="2"/>
  <c r="I221" i="2"/>
  <c r="F214" i="2"/>
  <c r="C342" i="1"/>
  <c r="C231" i="2"/>
  <c r="C228" i="2"/>
  <c r="C233" i="2"/>
  <c r="C225" i="2"/>
  <c r="C230" i="2"/>
  <c r="C229" i="2"/>
  <c r="C235" i="2"/>
  <c r="C227" i="2"/>
  <c r="E374" i="1"/>
  <c r="C232" i="2"/>
  <c r="C234" i="2"/>
  <c r="C226" i="2"/>
  <c r="C345" i="1"/>
  <c r="C351" i="1"/>
  <c r="C350" i="1"/>
  <c r="C343" i="1"/>
  <c r="C346" i="1"/>
  <c r="C349" i="1"/>
  <c r="C348" i="1"/>
  <c r="C344" i="1"/>
  <c r="C347" i="1"/>
  <c r="C352" i="1"/>
  <c r="J391" i="1"/>
  <c r="J384" i="1"/>
  <c r="J344" i="1"/>
  <c r="J390" i="1"/>
  <c r="J349" i="1"/>
  <c r="J352" i="1"/>
  <c r="J386" i="1"/>
  <c r="J346" i="1"/>
  <c r="J345" i="1"/>
  <c r="J382" i="1"/>
  <c r="J350" i="1"/>
  <c r="J342" i="1"/>
  <c r="J389" i="1"/>
  <c r="J347" i="1"/>
  <c r="J387" i="1"/>
  <c r="J348" i="1"/>
  <c r="J388" i="1"/>
  <c r="J385" i="1"/>
  <c r="J343" i="1"/>
  <c r="J392" i="1"/>
  <c r="J383" i="1"/>
  <c r="J351" i="1"/>
  <c r="B374" i="1"/>
  <c r="B366" i="1"/>
  <c r="B372" i="1"/>
  <c r="B365" i="1"/>
  <c r="B364" i="1"/>
  <c r="B371" i="1"/>
  <c r="B378" i="1"/>
  <c r="B370" i="1"/>
  <c r="D370" i="1" s="1"/>
  <c r="B377" i="1"/>
  <c r="B369" i="1"/>
  <c r="B363" i="1"/>
  <c r="B376" i="1"/>
  <c r="B368" i="1"/>
  <c r="B375" i="1"/>
  <c r="B367" i="1"/>
  <c r="B373" i="1"/>
  <c r="C390" i="1"/>
  <c r="C391" i="1"/>
  <c r="C383" i="1"/>
  <c r="C384" i="1"/>
  <c r="C392" i="1"/>
  <c r="C385" i="1"/>
  <c r="C382" i="1"/>
  <c r="C386" i="1"/>
  <c r="E372" i="1"/>
  <c r="C387" i="1"/>
  <c r="C388" i="1"/>
  <c r="C389" i="1"/>
  <c r="E365" i="1"/>
  <c r="E376" i="1"/>
  <c r="B17" i="2"/>
  <c r="B324" i="1"/>
  <c r="B323" i="1"/>
  <c r="D323" i="1" s="1"/>
  <c r="B331" i="1"/>
  <c r="B332" i="1"/>
  <c r="B336" i="1"/>
  <c r="B337" i="1"/>
  <c r="B325" i="1"/>
  <c r="B333" i="1"/>
  <c r="B326" i="1"/>
  <c r="B334" i="1"/>
  <c r="B335" i="1"/>
  <c r="B330" i="1"/>
  <c r="B327" i="1"/>
  <c r="B328" i="1"/>
  <c r="B329" i="1"/>
  <c r="B338" i="1"/>
  <c r="B134" i="2"/>
  <c r="B144" i="2"/>
  <c r="B27" i="2"/>
  <c r="B19" i="2"/>
  <c r="B136" i="2"/>
  <c r="B132" i="2"/>
  <c r="B26" i="2"/>
  <c r="B25" i="2"/>
  <c r="B143" i="2"/>
  <c r="B142" i="2"/>
  <c r="B131" i="2"/>
  <c r="B40" i="2"/>
  <c r="B24" i="2"/>
  <c r="B16" i="2"/>
  <c r="D16" i="2" s="1"/>
  <c r="E16" i="2" s="1"/>
  <c r="B141" i="2"/>
  <c r="B138" i="2"/>
  <c r="B31" i="2"/>
  <c r="B23" i="2"/>
  <c r="B20" i="2"/>
  <c r="C40" i="2"/>
  <c r="B140" i="2"/>
  <c r="B130" i="2"/>
  <c r="D130" i="2" s="1"/>
  <c r="E130" i="2" s="1"/>
  <c r="F248" i="2" s="1"/>
  <c r="B30" i="2"/>
  <c r="B22" i="2"/>
  <c r="B133" i="2"/>
  <c r="B28" i="2"/>
  <c r="B139" i="2"/>
  <c r="B135" i="2"/>
  <c r="B145" i="2"/>
  <c r="B29" i="2"/>
  <c r="B21" i="2"/>
  <c r="B137" i="2"/>
  <c r="B18" i="2"/>
  <c r="C131" i="2"/>
  <c r="C132" i="2" s="1"/>
  <c r="C133" i="2" s="1"/>
  <c r="C134" i="2" s="1"/>
  <c r="C135" i="2" s="1"/>
  <c r="C136" i="2" s="1"/>
  <c r="C137" i="2" s="1"/>
  <c r="C138" i="2" s="1"/>
  <c r="C139" i="2" s="1"/>
  <c r="C64" i="2"/>
  <c r="D64" i="2" s="1"/>
  <c r="D292" i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194" i="1"/>
  <c r="E194" i="1" s="1"/>
  <c r="D202" i="1"/>
  <c r="E202" i="1" s="1"/>
  <c r="D169" i="1"/>
  <c r="D177" i="1"/>
  <c r="E177" i="1" s="1"/>
  <c r="D195" i="1"/>
  <c r="E195" i="1" s="1"/>
  <c r="D203" i="1"/>
  <c r="E203" i="1" s="1"/>
  <c r="D170" i="1"/>
  <c r="E170" i="1" s="1"/>
  <c r="D178" i="1"/>
  <c r="E178" i="1" s="1"/>
  <c r="D196" i="1"/>
  <c r="E196" i="1" s="1"/>
  <c r="D204" i="1"/>
  <c r="E204" i="1" s="1"/>
  <c r="D171" i="1"/>
  <c r="E171" i="1" s="1"/>
  <c r="D179" i="1"/>
  <c r="E179" i="1" s="1"/>
  <c r="D197" i="1"/>
  <c r="E197" i="1" s="1"/>
  <c r="D205" i="1"/>
  <c r="E205" i="1" s="1"/>
  <c r="D172" i="1"/>
  <c r="E172" i="1" s="1"/>
  <c r="D180" i="1"/>
  <c r="E180" i="1" s="1"/>
  <c r="D198" i="1"/>
  <c r="E198" i="1" s="1"/>
  <c r="D206" i="1"/>
  <c r="E206" i="1" s="1"/>
  <c r="D173" i="1"/>
  <c r="E173" i="1" s="1"/>
  <c r="D181" i="1"/>
  <c r="E181" i="1" s="1"/>
  <c r="D199" i="1"/>
  <c r="E199" i="1" s="1"/>
  <c r="D207" i="1"/>
  <c r="E207" i="1" s="1"/>
  <c r="D174" i="1"/>
  <c r="E174" i="1" s="1"/>
  <c r="D182" i="1"/>
  <c r="E182" i="1" s="1"/>
  <c r="D200" i="1"/>
  <c r="E200" i="1" s="1"/>
  <c r="D208" i="1"/>
  <c r="E208" i="1" s="1"/>
  <c r="D175" i="1"/>
  <c r="E175" i="1" s="1"/>
  <c r="D183" i="1"/>
  <c r="E183" i="1" s="1"/>
  <c r="D201" i="1"/>
  <c r="E201" i="1" s="1"/>
  <c r="D193" i="1"/>
  <c r="E405" i="1" s="1"/>
  <c r="D176" i="1"/>
  <c r="E176" i="1" s="1"/>
  <c r="D184" i="1"/>
  <c r="E184" i="1" s="1"/>
  <c r="B41" i="1"/>
  <c r="B33" i="1"/>
  <c r="B34" i="1"/>
  <c r="B42" i="1"/>
  <c r="B35" i="1"/>
  <c r="B43" i="1"/>
  <c r="B36" i="1"/>
  <c r="B44" i="1"/>
  <c r="B37" i="1"/>
  <c r="B45" i="1"/>
  <c r="B38" i="1"/>
  <c r="B46" i="1"/>
  <c r="B39" i="1"/>
  <c r="B47" i="1"/>
  <c r="B40" i="1"/>
  <c r="B48" i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242" i="1"/>
  <c r="C243" i="1" s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C42" i="2"/>
  <c r="C50" i="2"/>
  <c r="B42" i="2"/>
  <c r="B50" i="2"/>
  <c r="B57" i="1"/>
  <c r="G397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58" i="1"/>
  <c r="D58" i="1" s="1"/>
  <c r="E58" i="1" s="1"/>
  <c r="C46" i="2"/>
  <c r="C54" i="2"/>
  <c r="B46" i="2"/>
  <c r="B54" i="2"/>
  <c r="C47" i="2"/>
  <c r="C55" i="2"/>
  <c r="B47" i="2"/>
  <c r="B55" i="2"/>
  <c r="B49" i="2"/>
  <c r="C48" i="2"/>
  <c r="B48" i="2"/>
  <c r="C57" i="1"/>
  <c r="D57" i="1" s="1"/>
  <c r="C49" i="2"/>
  <c r="E266" i="1"/>
  <c r="F266" i="1" s="1"/>
  <c r="D267" i="1"/>
  <c r="E267" i="1" s="1"/>
  <c r="F267" i="1" s="1"/>
  <c r="B59" i="1"/>
  <c r="C228" i="1"/>
  <c r="C220" i="1"/>
  <c r="C231" i="1"/>
  <c r="C232" i="1"/>
  <c r="C223" i="1"/>
  <c r="C227" i="1"/>
  <c r="C230" i="1"/>
  <c r="C219" i="1"/>
  <c r="C222" i="1"/>
  <c r="C226" i="1"/>
  <c r="C225" i="1"/>
  <c r="C229" i="1"/>
  <c r="C218" i="1"/>
  <c r="C224" i="1"/>
  <c r="C221" i="1"/>
  <c r="C217" i="1"/>
  <c r="F403" i="1" s="1"/>
  <c r="E141" i="1"/>
  <c r="C83" i="1"/>
  <c r="E83" i="1" s="1"/>
  <c r="D83" i="1" s="1"/>
  <c r="E121" i="1"/>
  <c r="E113" i="1"/>
  <c r="E126" i="1"/>
  <c r="E134" i="1"/>
  <c r="E112" i="1"/>
  <c r="E135" i="1"/>
  <c r="E119" i="1"/>
  <c r="E111" i="1"/>
  <c r="E128" i="1"/>
  <c r="E136" i="1"/>
  <c r="E118" i="1"/>
  <c r="E110" i="1"/>
  <c r="E129" i="1"/>
  <c r="E137" i="1"/>
  <c r="E120" i="1"/>
  <c r="E127" i="1"/>
  <c r="E117" i="1"/>
  <c r="E109" i="1"/>
  <c r="E130" i="1"/>
  <c r="E138" i="1"/>
  <c r="E116" i="1"/>
  <c r="E131" i="1"/>
  <c r="E139" i="1"/>
  <c r="E115" i="1"/>
  <c r="E107" i="1"/>
  <c r="E132" i="1"/>
  <c r="E140" i="1"/>
  <c r="E108" i="1"/>
  <c r="E114" i="1"/>
  <c r="E106" i="1"/>
  <c r="F401" i="1" s="1"/>
  <c r="E133" i="1"/>
  <c r="D111" i="1"/>
  <c r="F111" i="1" s="1"/>
  <c r="D120" i="1"/>
  <c r="F120" i="1" s="1"/>
  <c r="D121" i="1"/>
  <c r="F121" i="1" s="1"/>
  <c r="D113" i="1"/>
  <c r="F113" i="1" s="1"/>
  <c r="D112" i="1"/>
  <c r="F112" i="1" s="1"/>
  <c r="D119" i="1"/>
  <c r="F119" i="1" s="1"/>
  <c r="D118" i="1"/>
  <c r="F118" i="1" s="1"/>
  <c r="D110" i="1"/>
  <c r="F110" i="1" s="1"/>
  <c r="D117" i="1"/>
  <c r="F117" i="1" s="1"/>
  <c r="D109" i="1"/>
  <c r="F109" i="1" s="1"/>
  <c r="D116" i="1"/>
  <c r="F116" i="1" s="1"/>
  <c r="D108" i="1"/>
  <c r="F108" i="1" s="1"/>
  <c r="D115" i="1"/>
  <c r="F115" i="1" s="1"/>
  <c r="D107" i="1"/>
  <c r="F107" i="1" s="1"/>
  <c r="D114" i="1"/>
  <c r="F114" i="1" s="1"/>
  <c r="D106" i="1"/>
  <c r="F106" i="1" s="1"/>
  <c r="D128" i="1"/>
  <c r="F128" i="1" s="1"/>
  <c r="D130" i="1"/>
  <c r="F130" i="1" s="1"/>
  <c r="D129" i="1"/>
  <c r="F129" i="1" s="1"/>
  <c r="D126" i="1"/>
  <c r="D127" i="1"/>
  <c r="B91" i="1"/>
  <c r="B89" i="1"/>
  <c r="C84" i="1"/>
  <c r="B83" i="1"/>
  <c r="C87" i="1"/>
  <c r="B81" i="1"/>
  <c r="G396" i="1" s="1"/>
  <c r="C95" i="1"/>
  <c r="C92" i="1"/>
  <c r="B94" i="1"/>
  <c r="C90" i="1"/>
  <c r="B86" i="1"/>
  <c r="C82" i="1"/>
  <c r="B88" i="1"/>
  <c r="B96" i="1"/>
  <c r="C81" i="1"/>
  <c r="C89" i="1"/>
  <c r="B95" i="1"/>
  <c r="B87" i="1"/>
  <c r="C96" i="1"/>
  <c r="C88" i="1"/>
  <c r="B93" i="1"/>
  <c r="B85" i="1"/>
  <c r="C94" i="1"/>
  <c r="C86" i="1"/>
  <c r="B64" i="1"/>
  <c r="B92" i="1"/>
  <c r="B84" i="1"/>
  <c r="C93" i="1"/>
  <c r="C85" i="1"/>
  <c r="B90" i="1"/>
  <c r="B82" i="1"/>
  <c r="C91" i="1"/>
  <c r="C72" i="1"/>
  <c r="D72" i="1" s="1"/>
  <c r="E72" i="1" s="1"/>
  <c r="B71" i="1"/>
  <c r="B63" i="1"/>
  <c r="C71" i="1"/>
  <c r="D71" i="1" s="1"/>
  <c r="E71" i="1" s="1"/>
  <c r="C63" i="1"/>
  <c r="D63" i="1" s="1"/>
  <c r="E63" i="1" s="1"/>
  <c r="B70" i="1"/>
  <c r="B62" i="1"/>
  <c r="C70" i="1"/>
  <c r="D70" i="1" s="1"/>
  <c r="E70" i="1" s="1"/>
  <c r="C62" i="1"/>
  <c r="D62" i="1" s="1"/>
  <c r="E62" i="1" s="1"/>
  <c r="B61" i="1"/>
  <c r="B72" i="1"/>
  <c r="C64" i="1"/>
  <c r="D64" i="1" s="1"/>
  <c r="E64" i="1" s="1"/>
  <c r="B69" i="1"/>
  <c r="C69" i="1"/>
  <c r="D69" i="1" s="1"/>
  <c r="E69" i="1" s="1"/>
  <c r="C61" i="1"/>
  <c r="D61" i="1" s="1"/>
  <c r="E61" i="1" s="1"/>
  <c r="B68" i="1"/>
  <c r="B60" i="1"/>
  <c r="C68" i="1"/>
  <c r="D68" i="1" s="1"/>
  <c r="E68" i="1" s="1"/>
  <c r="C60" i="1"/>
  <c r="D60" i="1" s="1"/>
  <c r="E60" i="1" s="1"/>
  <c r="C65" i="1"/>
  <c r="D65" i="1" s="1"/>
  <c r="E65" i="1" s="1"/>
  <c r="B67" i="1"/>
  <c r="C67" i="1"/>
  <c r="D67" i="1" s="1"/>
  <c r="E67" i="1" s="1"/>
  <c r="C59" i="1"/>
  <c r="D59" i="1" s="1"/>
  <c r="E59" i="1" s="1"/>
  <c r="B66" i="1"/>
  <c r="B58" i="1"/>
  <c r="C66" i="1"/>
  <c r="D66" i="1" s="1"/>
  <c r="E66" i="1" s="1"/>
  <c r="B65" i="1"/>
  <c r="H206" i="2" l="1"/>
  <c r="G208" i="2"/>
  <c r="H208" i="2"/>
  <c r="G214" i="2"/>
  <c r="H214" i="2"/>
  <c r="I214" i="2"/>
  <c r="G209" i="2"/>
  <c r="I209" i="2"/>
  <c r="H209" i="2"/>
  <c r="I217" i="2"/>
  <c r="G217" i="2"/>
  <c r="H217" i="2"/>
  <c r="G210" i="2"/>
  <c r="H210" i="2"/>
  <c r="I210" i="2"/>
  <c r="I219" i="2"/>
  <c r="H219" i="2"/>
  <c r="G219" i="2"/>
  <c r="D364" i="1"/>
  <c r="E367" i="1"/>
  <c r="D378" i="1"/>
  <c r="D374" i="1"/>
  <c r="D377" i="1"/>
  <c r="D371" i="1"/>
  <c r="E378" i="1"/>
  <c r="E377" i="1"/>
  <c r="D367" i="1"/>
  <c r="D368" i="1"/>
  <c r="E364" i="1"/>
  <c r="E371" i="1"/>
  <c r="D372" i="1"/>
  <c r="F372" i="1" s="1"/>
  <c r="E369" i="1"/>
  <c r="D369" i="1"/>
  <c r="E368" i="1"/>
  <c r="E375" i="1"/>
  <c r="E373" i="1"/>
  <c r="E370" i="1"/>
  <c r="F370" i="1" s="1"/>
  <c r="H370" i="1" s="1"/>
  <c r="E366" i="1"/>
  <c r="D376" i="1"/>
  <c r="F376" i="1" s="1"/>
  <c r="I376" i="1" s="1"/>
  <c r="D365" i="1"/>
  <c r="F365" i="1" s="1"/>
  <c r="I365" i="1" s="1"/>
  <c r="D373" i="1"/>
  <c r="D366" i="1"/>
  <c r="D375" i="1"/>
  <c r="D363" i="1"/>
  <c r="E363" i="1"/>
  <c r="F374" i="1"/>
  <c r="G374" i="1" s="1"/>
  <c r="E335" i="1"/>
  <c r="D335" i="1"/>
  <c r="D331" i="1"/>
  <c r="E331" i="1"/>
  <c r="E334" i="1"/>
  <c r="D334" i="1"/>
  <c r="E323" i="1"/>
  <c r="E326" i="1"/>
  <c r="D326" i="1"/>
  <c r="D324" i="1"/>
  <c r="E324" i="1"/>
  <c r="D338" i="1"/>
  <c r="E338" i="1"/>
  <c r="E333" i="1"/>
  <c r="D333" i="1"/>
  <c r="E329" i="1"/>
  <c r="D329" i="1"/>
  <c r="E325" i="1"/>
  <c r="D325" i="1"/>
  <c r="E328" i="1"/>
  <c r="D328" i="1"/>
  <c r="E337" i="1"/>
  <c r="D337" i="1"/>
  <c r="E327" i="1"/>
  <c r="D327" i="1"/>
  <c r="E336" i="1"/>
  <c r="D336" i="1"/>
  <c r="D330" i="1"/>
  <c r="E330" i="1"/>
  <c r="D332" i="1"/>
  <c r="E332" i="1"/>
  <c r="F246" i="2"/>
  <c r="E152" i="2"/>
  <c r="E246" i="2" s="1"/>
  <c r="D139" i="2"/>
  <c r="E139" i="2" s="1"/>
  <c r="F139" i="2" s="1"/>
  <c r="D17" i="2"/>
  <c r="E17" i="2" s="1"/>
  <c r="F17" i="2" s="1"/>
  <c r="D137" i="2"/>
  <c r="E137" i="2" s="1"/>
  <c r="F137" i="2" s="1"/>
  <c r="D138" i="2"/>
  <c r="E138" i="2" s="1"/>
  <c r="F138" i="2" s="1"/>
  <c r="D135" i="2"/>
  <c r="E135" i="2" s="1"/>
  <c r="F135" i="2" s="1"/>
  <c r="D133" i="2"/>
  <c r="E133" i="2" s="1"/>
  <c r="F133" i="2" s="1"/>
  <c r="D134" i="2"/>
  <c r="E134" i="2" s="1"/>
  <c r="F134" i="2" s="1"/>
  <c r="C140" i="2"/>
  <c r="C141" i="2" s="1"/>
  <c r="F130" i="2"/>
  <c r="E248" i="2" s="1"/>
  <c r="D132" i="2"/>
  <c r="E132" i="2" s="1"/>
  <c r="F132" i="2" s="1"/>
  <c r="D136" i="2"/>
  <c r="E136" i="2" s="1"/>
  <c r="F136" i="2" s="1"/>
  <c r="D40" i="2"/>
  <c r="G110" i="2" s="1"/>
  <c r="D131" i="2"/>
  <c r="E131" i="2" s="1"/>
  <c r="F131" i="2" s="1"/>
  <c r="E174" i="2"/>
  <c r="E249" i="2" s="1"/>
  <c r="F249" i="2"/>
  <c r="D103" i="2"/>
  <c r="E162" i="2"/>
  <c r="E255" i="2" s="1"/>
  <c r="F255" i="2"/>
  <c r="E184" i="2"/>
  <c r="E257" i="2" s="1"/>
  <c r="F257" i="2"/>
  <c r="F103" i="2"/>
  <c r="E176" i="2"/>
  <c r="E193" i="1"/>
  <c r="F405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69" i="1"/>
  <c r="F402" i="1" s="1"/>
  <c r="E402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C18" i="2"/>
  <c r="D18" i="2" s="1"/>
  <c r="D96" i="2"/>
  <c r="E48" i="2"/>
  <c r="F48" i="2" s="1"/>
  <c r="F111" i="2"/>
  <c r="E64" i="2"/>
  <c r="E111" i="2" s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E399" i="1"/>
  <c r="F399" i="1"/>
  <c r="B268" i="1"/>
  <c r="C268" i="1" s="1"/>
  <c r="E57" i="1"/>
  <c r="E397" i="1" s="1"/>
  <c r="F397" i="1"/>
  <c r="G106" i="1"/>
  <c r="H106" i="1" s="1"/>
  <c r="C107" i="1"/>
  <c r="G107" i="1" s="1"/>
  <c r="H107" i="1" s="1"/>
  <c r="I107" i="1" s="1"/>
  <c r="D131" i="1"/>
  <c r="F131" i="1" s="1"/>
  <c r="F126" i="1"/>
  <c r="G126" i="1" s="1"/>
  <c r="C127" i="1"/>
  <c r="C128" i="1" s="1"/>
  <c r="F127" i="1"/>
  <c r="E85" i="1"/>
  <c r="D85" i="1" s="1"/>
  <c r="E93" i="1"/>
  <c r="D93" i="1" s="1"/>
  <c r="E88" i="1"/>
  <c r="D88" i="1" s="1"/>
  <c r="E82" i="1"/>
  <c r="D82" i="1" s="1"/>
  <c r="E96" i="1"/>
  <c r="D96" i="1" s="1"/>
  <c r="E84" i="1"/>
  <c r="D84" i="1" s="1"/>
  <c r="E87" i="1"/>
  <c r="D87" i="1" s="1"/>
  <c r="E90" i="1"/>
  <c r="D90" i="1" s="1"/>
  <c r="E86" i="1"/>
  <c r="D86" i="1" s="1"/>
  <c r="E92" i="1"/>
  <c r="D92" i="1" s="1"/>
  <c r="E91" i="1"/>
  <c r="D91" i="1" s="1"/>
  <c r="E89" i="1"/>
  <c r="D89" i="1" s="1"/>
  <c r="E94" i="1"/>
  <c r="D94" i="1" s="1"/>
  <c r="E81" i="1"/>
  <c r="E95" i="1"/>
  <c r="D95" i="1" s="1"/>
  <c r="F375" i="1" l="1"/>
  <c r="I375" i="1" s="1"/>
  <c r="F369" i="1"/>
  <c r="I369" i="1" s="1"/>
  <c r="F371" i="1"/>
  <c r="I371" i="1" s="1"/>
  <c r="F364" i="1"/>
  <c r="G364" i="1" s="1"/>
  <c r="F378" i="1"/>
  <c r="H378" i="1" s="1"/>
  <c r="F367" i="1"/>
  <c r="H367" i="1" s="1"/>
  <c r="F368" i="1"/>
  <c r="I368" i="1" s="1"/>
  <c r="F377" i="1"/>
  <c r="H377" i="1" s="1"/>
  <c r="F373" i="1"/>
  <c r="H373" i="1" s="1"/>
  <c r="F366" i="1"/>
  <c r="G366" i="1" s="1"/>
  <c r="F363" i="1"/>
  <c r="F398" i="1" s="1"/>
  <c r="H374" i="1"/>
  <c r="I374" i="1"/>
  <c r="G365" i="1"/>
  <c r="I370" i="1"/>
  <c r="J370" i="1" s="1"/>
  <c r="G376" i="1"/>
  <c r="H376" i="1"/>
  <c r="J376" i="1" s="1"/>
  <c r="H365" i="1"/>
  <c r="J365" i="1" s="1"/>
  <c r="G370" i="1"/>
  <c r="I367" i="1"/>
  <c r="H371" i="1"/>
  <c r="G371" i="1"/>
  <c r="I372" i="1"/>
  <c r="H372" i="1"/>
  <c r="G372" i="1"/>
  <c r="F327" i="1"/>
  <c r="H327" i="1" s="1"/>
  <c r="F335" i="1"/>
  <c r="I335" i="1" s="1"/>
  <c r="F330" i="1"/>
  <c r="G330" i="1" s="1"/>
  <c r="F338" i="1"/>
  <c r="I338" i="1" s="1"/>
  <c r="F329" i="1"/>
  <c r="G329" i="1" s="1"/>
  <c r="F326" i="1"/>
  <c r="H326" i="1" s="1"/>
  <c r="F332" i="1"/>
  <c r="H332" i="1" s="1"/>
  <c r="F323" i="1"/>
  <c r="H323" i="1" s="1"/>
  <c r="F336" i="1"/>
  <c r="I336" i="1" s="1"/>
  <c r="F325" i="1"/>
  <c r="G325" i="1" s="1"/>
  <c r="F337" i="1"/>
  <c r="F333" i="1"/>
  <c r="F328" i="1"/>
  <c r="F334" i="1"/>
  <c r="F324" i="1"/>
  <c r="F331" i="1"/>
  <c r="G327" i="1"/>
  <c r="D140" i="2"/>
  <c r="E140" i="2" s="1"/>
  <c r="F256" i="2" s="1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68" i="1"/>
  <c r="E268" i="1" s="1"/>
  <c r="F268" i="1" s="1"/>
  <c r="D81" i="1"/>
  <c r="F396" i="1" s="1"/>
  <c r="E396" i="1"/>
  <c r="I106" i="1"/>
  <c r="C108" i="1"/>
  <c r="G108" i="1" s="1"/>
  <c r="H108" i="1" s="1"/>
  <c r="I108" i="1" s="1"/>
  <c r="D132" i="1"/>
  <c r="F132" i="1" s="1"/>
  <c r="H126" i="1"/>
  <c r="I126" i="1" s="1"/>
  <c r="C129" i="1"/>
  <c r="G128" i="1"/>
  <c r="H128" i="1" s="1"/>
  <c r="I128" i="1" s="1"/>
  <c r="G127" i="1"/>
  <c r="H127" i="1" s="1"/>
  <c r="I127" i="1" s="1"/>
  <c r="G375" i="1" l="1"/>
  <c r="H375" i="1"/>
  <c r="J375" i="1" s="1"/>
  <c r="J220" i="2"/>
  <c r="I364" i="1"/>
  <c r="J215" i="2"/>
  <c r="J212" i="2"/>
  <c r="J211" i="2"/>
  <c r="J208" i="2"/>
  <c r="J213" i="2"/>
  <c r="J216" i="2"/>
  <c r="J217" i="2"/>
  <c r="J214" i="2"/>
  <c r="G378" i="1"/>
  <c r="J218" i="2"/>
  <c r="H369" i="1"/>
  <c r="J369" i="1" s="1"/>
  <c r="J207" i="2"/>
  <c r="G368" i="1"/>
  <c r="G369" i="1"/>
  <c r="I378" i="1"/>
  <c r="J378" i="1" s="1"/>
  <c r="G367" i="1"/>
  <c r="H368" i="1"/>
  <c r="J368" i="1" s="1"/>
  <c r="H364" i="1"/>
  <c r="G377" i="1"/>
  <c r="I377" i="1"/>
  <c r="J377" i="1" s="1"/>
  <c r="I373" i="1"/>
  <c r="J373" i="1" s="1"/>
  <c r="G373" i="1"/>
  <c r="H329" i="1"/>
  <c r="I329" i="1"/>
  <c r="I366" i="1"/>
  <c r="H366" i="1"/>
  <c r="I327" i="1"/>
  <c r="J327" i="1" s="1"/>
  <c r="G363" i="1"/>
  <c r="E398" i="1" s="1"/>
  <c r="I363" i="1"/>
  <c r="H363" i="1"/>
  <c r="J374" i="1"/>
  <c r="J372" i="1"/>
  <c r="J371" i="1"/>
  <c r="H335" i="1"/>
  <c r="J335" i="1" s="1"/>
  <c r="J367" i="1"/>
  <c r="H330" i="1"/>
  <c r="I330" i="1"/>
  <c r="I326" i="1"/>
  <c r="J326" i="1" s="1"/>
  <c r="G326" i="1"/>
  <c r="G338" i="1"/>
  <c r="G335" i="1"/>
  <c r="H325" i="1"/>
  <c r="I325" i="1"/>
  <c r="H338" i="1"/>
  <c r="J338" i="1" s="1"/>
  <c r="H336" i="1"/>
  <c r="J336" i="1" s="1"/>
  <c r="G336" i="1"/>
  <c r="G323" i="1"/>
  <c r="I332" i="1"/>
  <c r="J332" i="1" s="1"/>
  <c r="G332" i="1"/>
  <c r="I323" i="1"/>
  <c r="J323" i="1" s="1"/>
  <c r="H334" i="1"/>
  <c r="G334" i="1"/>
  <c r="I334" i="1"/>
  <c r="G328" i="1"/>
  <c r="H328" i="1"/>
  <c r="I328" i="1"/>
  <c r="G331" i="1"/>
  <c r="I331" i="1"/>
  <c r="H331" i="1"/>
  <c r="G324" i="1"/>
  <c r="H324" i="1"/>
  <c r="I324" i="1"/>
  <c r="G333" i="1"/>
  <c r="I333" i="1"/>
  <c r="H333" i="1"/>
  <c r="H337" i="1"/>
  <c r="I337" i="1"/>
  <c r="G337" i="1"/>
  <c r="F140" i="2"/>
  <c r="E256" i="2" s="1"/>
  <c r="C143" i="2"/>
  <c r="D142" i="2"/>
  <c r="E142" i="2" s="1"/>
  <c r="F142" i="2" s="1"/>
  <c r="C20" i="2"/>
  <c r="D20" i="2" s="1"/>
  <c r="B269" i="1"/>
  <c r="C109" i="1"/>
  <c r="G109" i="1" s="1"/>
  <c r="H109" i="1" s="1"/>
  <c r="I109" i="1" s="1"/>
  <c r="D133" i="1"/>
  <c r="F133" i="1" s="1"/>
  <c r="C130" i="1"/>
  <c r="G129" i="1"/>
  <c r="H129" i="1" s="1"/>
  <c r="I129" i="1" s="1"/>
  <c r="J364" i="1" l="1"/>
  <c r="J219" i="2"/>
  <c r="J209" i="2"/>
  <c r="J210" i="2"/>
  <c r="J206" i="2"/>
  <c r="J221" i="2"/>
  <c r="J329" i="1"/>
  <c r="J366" i="1"/>
  <c r="J363" i="1"/>
  <c r="J330" i="1"/>
  <c r="J325" i="1"/>
  <c r="J334" i="1"/>
  <c r="J337" i="1"/>
  <c r="J333" i="1"/>
  <c r="J328" i="1"/>
  <c r="J324" i="1"/>
  <c r="J331" i="1"/>
  <c r="C144" i="2"/>
  <c r="D143" i="2"/>
  <c r="E143" i="2" s="1"/>
  <c r="F143" i="2" s="1"/>
  <c r="E19" i="2"/>
  <c r="F19" i="2" s="1"/>
  <c r="C21" i="2"/>
  <c r="D21" i="2" s="1"/>
  <c r="E20" i="2"/>
  <c r="F20" i="2" s="1"/>
  <c r="C269" i="1"/>
  <c r="D269" i="1" s="1"/>
  <c r="C110" i="1"/>
  <c r="G110" i="1" s="1"/>
  <c r="H110" i="1" s="1"/>
  <c r="I110" i="1" s="1"/>
  <c r="D134" i="1"/>
  <c r="F134" i="1" s="1"/>
  <c r="C131" i="1"/>
  <c r="G130" i="1"/>
  <c r="H130" i="1" s="1"/>
  <c r="I130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69" i="1"/>
  <c r="F269" i="1" s="1"/>
  <c r="B270" i="1"/>
  <c r="C270" i="1" s="1"/>
  <c r="D270" i="1" s="1"/>
  <c r="E270" i="1" s="1"/>
  <c r="F270" i="1" s="1"/>
  <c r="C111" i="1"/>
  <c r="D135" i="1"/>
  <c r="F135" i="1" s="1"/>
  <c r="C132" i="1"/>
  <c r="G131" i="1"/>
  <c r="H131" i="1" s="1"/>
  <c r="I131" i="1" s="1"/>
  <c r="C23" i="2" l="1"/>
  <c r="D23" i="2" s="1"/>
  <c r="E22" i="2"/>
  <c r="F22" i="2" s="1"/>
  <c r="B271" i="1"/>
  <c r="C271" i="1" s="1"/>
  <c r="G111" i="1"/>
  <c r="H111" i="1" s="1"/>
  <c r="I111" i="1" s="1"/>
  <c r="C112" i="1"/>
  <c r="D136" i="1"/>
  <c r="F136" i="1" s="1"/>
  <c r="G132" i="1"/>
  <c r="H132" i="1" s="1"/>
  <c r="I132" i="1" s="1"/>
  <c r="C133" i="1"/>
  <c r="C24" i="2" l="1"/>
  <c r="D24" i="2" s="1"/>
  <c r="E23" i="2"/>
  <c r="F23" i="2" s="1"/>
  <c r="D271" i="1"/>
  <c r="E271" i="1" s="1"/>
  <c r="F271" i="1" s="1"/>
  <c r="G112" i="1"/>
  <c r="H112" i="1" s="1"/>
  <c r="I112" i="1" s="1"/>
  <c r="C113" i="1"/>
  <c r="D137" i="1"/>
  <c r="F137" i="1" s="1"/>
  <c r="G133" i="1"/>
  <c r="H133" i="1" s="1"/>
  <c r="I133" i="1" s="1"/>
  <c r="C134" i="1"/>
  <c r="C25" i="2" l="1"/>
  <c r="D25" i="2" s="1"/>
  <c r="E24" i="2"/>
  <c r="F24" i="2" s="1"/>
  <c r="B272" i="1"/>
  <c r="C272" i="1" s="1"/>
  <c r="G113" i="1"/>
  <c r="H113" i="1" s="1"/>
  <c r="I113" i="1" s="1"/>
  <c r="C114" i="1"/>
  <c r="D138" i="1"/>
  <c r="F138" i="1" s="1"/>
  <c r="C135" i="1"/>
  <c r="G134" i="1"/>
  <c r="H134" i="1" s="1"/>
  <c r="I134" i="1" s="1"/>
  <c r="C26" i="2" l="1"/>
  <c r="D26" i="2" s="1"/>
  <c r="E25" i="2"/>
  <c r="F25" i="2" s="1"/>
  <c r="D272" i="1"/>
  <c r="E272" i="1" s="1"/>
  <c r="F272" i="1" s="1"/>
  <c r="G114" i="1"/>
  <c r="H114" i="1" s="1"/>
  <c r="I114" i="1" s="1"/>
  <c r="C115" i="1"/>
  <c r="D139" i="1"/>
  <c r="F139" i="1" s="1"/>
  <c r="G135" i="1"/>
  <c r="H135" i="1" s="1"/>
  <c r="I135" i="1" s="1"/>
  <c r="C136" i="1"/>
  <c r="C27" i="2" l="1"/>
  <c r="D27" i="2" s="1"/>
  <c r="E26" i="2"/>
  <c r="F26" i="2" s="1"/>
  <c r="B273" i="1"/>
  <c r="C273" i="1" s="1"/>
  <c r="G115" i="1"/>
  <c r="H115" i="1" s="1"/>
  <c r="I115" i="1" s="1"/>
  <c r="C116" i="1"/>
  <c r="D140" i="1"/>
  <c r="F140" i="1" s="1"/>
  <c r="D141" i="1"/>
  <c r="F141" i="1" s="1"/>
  <c r="C137" i="1"/>
  <c r="G136" i="1"/>
  <c r="H136" i="1" s="1"/>
  <c r="I136" i="1" s="1"/>
  <c r="C28" i="2" l="1"/>
  <c r="D28" i="2" s="1"/>
  <c r="E27" i="2"/>
  <c r="F27" i="2" s="1"/>
  <c r="D273" i="1"/>
  <c r="E273" i="1" s="1"/>
  <c r="F273" i="1" s="1"/>
  <c r="G116" i="1"/>
  <c r="H116" i="1" s="1"/>
  <c r="I116" i="1" s="1"/>
  <c r="C117" i="1"/>
  <c r="G137" i="1"/>
  <c r="H137" i="1" s="1"/>
  <c r="I137" i="1" s="1"/>
  <c r="C138" i="1"/>
  <c r="C29" i="2" l="1"/>
  <c r="D29" i="2" s="1"/>
  <c r="E28" i="2"/>
  <c r="F28" i="2" s="1"/>
  <c r="B274" i="1"/>
  <c r="C274" i="1" s="1"/>
  <c r="G117" i="1"/>
  <c r="H117" i="1" s="1"/>
  <c r="I117" i="1" s="1"/>
  <c r="C118" i="1"/>
  <c r="G138" i="1"/>
  <c r="H138" i="1" s="1"/>
  <c r="I138" i="1" s="1"/>
  <c r="C139" i="1"/>
  <c r="C30" i="2" l="1"/>
  <c r="D30" i="2" s="1"/>
  <c r="E29" i="2"/>
  <c r="F29" i="2" s="1"/>
  <c r="D274" i="1"/>
  <c r="E274" i="1" s="1"/>
  <c r="F274" i="1" s="1"/>
  <c r="G118" i="1"/>
  <c r="H118" i="1" s="1"/>
  <c r="I118" i="1" s="1"/>
  <c r="C119" i="1"/>
  <c r="C140" i="1"/>
  <c r="G139" i="1"/>
  <c r="H139" i="1" s="1"/>
  <c r="I139" i="1" s="1"/>
  <c r="E30" i="2" l="1"/>
  <c r="F30" i="2" s="1"/>
  <c r="C31" i="2"/>
  <c r="B275" i="1"/>
  <c r="C275" i="1" s="1"/>
  <c r="G119" i="1"/>
  <c r="H119" i="1" s="1"/>
  <c r="I119" i="1" s="1"/>
  <c r="C120" i="1"/>
  <c r="G140" i="1"/>
  <c r="H140" i="1" s="1"/>
  <c r="I140" i="1" s="1"/>
  <c r="C141" i="1"/>
  <c r="G141" i="1" s="1"/>
  <c r="H141" i="1" s="1"/>
  <c r="I141" i="1" s="1"/>
  <c r="D31" i="2" l="1"/>
  <c r="E31" i="2" s="1"/>
  <c r="F31" i="2" s="1"/>
  <c r="D275" i="1"/>
  <c r="E275" i="1" s="1"/>
  <c r="F275" i="1" s="1"/>
  <c r="G120" i="1"/>
  <c r="H120" i="1" s="1"/>
  <c r="I120" i="1" s="1"/>
  <c r="C121" i="1"/>
  <c r="G121" i="1" s="1"/>
  <c r="H121" i="1" s="1"/>
  <c r="I121" i="1" s="1"/>
  <c r="B276" i="1" l="1"/>
  <c r="C276" i="1" s="1"/>
  <c r="D276" i="1" l="1"/>
  <c r="E276" i="1" s="1"/>
  <c r="F276" i="1" s="1"/>
  <c r="E292" i="1"/>
  <c r="B277" i="1" l="1"/>
  <c r="C277" i="1" s="1"/>
  <c r="D277" i="1" l="1"/>
  <c r="E277" i="1" s="1"/>
  <c r="F277" i="1" s="1"/>
  <c r="E293" i="1"/>
  <c r="B278" i="1" l="1"/>
  <c r="C278" i="1" s="1"/>
  <c r="E294" i="1"/>
  <c r="D278" i="1" l="1"/>
  <c r="E278" i="1" s="1"/>
  <c r="F278" i="1" s="1"/>
  <c r="E295" i="1" l="1"/>
  <c r="B279" i="1"/>
  <c r="C279" i="1" s="1"/>
  <c r="D279" i="1" l="1"/>
  <c r="E279" i="1" s="1"/>
  <c r="F279" i="1" s="1"/>
  <c r="B280" i="1" l="1"/>
  <c r="C280" i="1" s="1"/>
  <c r="E296" i="1"/>
  <c r="D280" i="1" l="1"/>
  <c r="E280" i="1" s="1"/>
  <c r="F280" i="1" s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</calcChain>
</file>

<file path=xl/comments1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<sst xmlns="http://schemas.openxmlformats.org/spreadsheetml/2006/main" count="627" uniqueCount="187">
  <si>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</si>
  <si>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</si>
  <si>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</si>
  <si>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</si>
  <si>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</si>
  <si>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</si>
  <si>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</si>
  <si>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</si>
  <si>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</si>
  <si>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</si>
  <si>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</si>
  <si>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</si>
  <si>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</si>
  <si>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</si>
  <si>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</si>
  <si>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</si>
  <si>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</si>
  <si>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</si>
  <si>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</si>
  <si>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</si>
  <si>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</si>
  <si>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</si>
  <si>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</si>
  <si>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</si>
  <si>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</si>
  <si>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</si>
  <si>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</si>
  <si>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</si>
  <si>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</si>
  <si>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</si>
  <si>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</si>
  <si>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</si>
  <si>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</si>
  <si>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</si>
  <si>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</si>
  <si>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</si>
  <si>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</si>
  <si>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</si>
  <si>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</si>
  <si>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</si>
  <si>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</si>
  <si>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</si>
  <si>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</si>
  <si>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</si>
  <si>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</si>
  <si>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</si>
  <si>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</si>
  <si>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</si>
  <si>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</si>
  <si>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</si>
  <si>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</si>
  <si>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</si>
  <si>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</si>
  <si>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</si>
  <si>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</si>
  <si>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</si>
  <si>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</si>
  <si>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</si>
  <si>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</si>
  <si>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</si>
  <si>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</si>
  <si>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</si>
  <si>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</si>
  <si>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</si>
  <si>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</si>
  <si>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</si>
  <si>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</si>
  <si>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</si>
  <si>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</si>
  <si>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</si>
  <si>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</si>
  <si>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</si>
  <si>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</si>
  <si>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</si>
  <si>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</si>
  <si>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</si>
  <si>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</si>
  <si>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</si>
  <si>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</si>
  <si>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</si>
  <si>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</si>
  <si>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</si>
  <si>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</si>
  <si>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</si>
  <si>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</si>
  <si>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</si>
  <si>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</si>
  <si>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</si>
  <si>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</si>
  <si>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</si>
  <si>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</si>
  <si>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</si>
  <si>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</si>
  <si>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</si>
  <si>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</si>
  <si>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</si>
  <si>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</si>
  <si>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</si>
  <si>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</si>
  <si>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</si>
  <si>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</si>
  <si>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</si>
  <si>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</si>
  <si>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</si>
  <si>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</si>
  <si>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</si>
  <si>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</si>
  <si>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</si>
  <si>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</si>
  <si>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</si>
  <si>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</si>
  <si>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</si>
  <si>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</si>
  <si>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</si>
  <si>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</si>
  <si>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</si>
  <si>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</si>
  <si>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</si>
  <si>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</si>
  <si>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</si>
  <si>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</si>
  <si>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</si>
  <si>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</si>
  <si>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</si>
  <si>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</si>
  <si>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</si>
  <si>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</si>
  <si>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</si>
  <si>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</si>
  <si>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</si>
  <si>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</si>
  <si>
    <t>Number of Users</t>
  </si>
  <si>
    <t>Estimated Current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</si>
  <si>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</si>
  <si>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</si>
  <si>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</si>
  <si>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</si>
  <si>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</si>
  <si>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</si>
  <si>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</si>
  <si>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</si>
  <si>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</si>
  <si>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</si>
  <si>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>Avg Latency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</si>
  <si>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</si>
  <si>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</si>
  <si>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</si>
  <si>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</si>
  <si>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</si>
  <si>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</si>
  <si>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</si>
  <si>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</si>
  <si>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</si>
  <si>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</si>
  <si>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</si>
  <si>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</si>
  <si>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</si>
  <si>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</si>
  <si>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</si>
  <si>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</si>
  <si>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</si>
  <si>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</si>
  <si>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</si>
  <si>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</si>
  <si>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</si>
  <si>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</si>
  <si>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</si>
  <si>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</si>
  <si>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</si>
  <si>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</si>
  <si>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</si>
  <si>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</si>
  <si>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</si>
  <si>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</si>
  <si>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Latency-based Miner Centralization (With Sybil)</t>
  </si>
  <si>
    <t>power(.1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</si>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</sst>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4" formatCode="#.0\ &quot;s&quot;"/>
    <numFmt numFmtId="195" formatCode="#\ &quot;ms&quot;"/>
    <numFmt numFmtId="196" formatCode="#.000\ &quot;s&quot;"/>
    <numFmt numFmtId="197" formatCode="#,###.00\ &quot;s&quot;"/>
    <numFmt numFmtId="198" formatCode="#,##0.000&quot; s&quot;"/>
    <numFmt numFmtId="199" formatCode="#\ &quot;km&quot;"/>
    <numFmt numFmtId="200" formatCode="#&quot; ms&quot;"/>
    <numFmt numFmtId="201" formatCode="0.00\ &quot;s&quot;"/>
    <numFmt numFmtId="219" formatCode="0%&quot;/yr&quot;"/>
    <numFmt numFmtId="222" formatCode="#.00\ &quot;s&quot;"/>
    <numFmt numFmtId="227" formatCode="0.0000000"/>
    <numFmt numFmtId="234" formatCode="#\ &quot; Billion&quot;"/>
    <numFmt numFmtId="235" formatCode="&quot;&gt;&quot;#\ &quot;Billion&quot;"/>
    <numFmt numFmtId="239" formatCode="#.#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82" fontId="0" fillId="2" borderId="0" xfId="2" applyNumberFormat="1" applyFont="1" applyFill="1"/>
    <xf numFmtId="10" fontId="0" fillId="2" borderId="0" xfId="2" applyNumberFormat="1" applyFont="1" applyFill="1"/>
    <xf numFmtId="194" fontId="0" fillId="0" borderId="0" xfId="0" applyNumberFormat="1"/>
    <xf numFmtId="195" fontId="13" fillId="2" borderId="0" xfId="0" applyNumberFormat="1" applyFont="1" applyFill="1" applyAlignment="1">
      <alignment horizontal="center"/>
    </xf>
    <xf numFmtId="195" fontId="13" fillId="3" borderId="0" xfId="0" applyNumberFormat="1" applyFont="1" applyFill="1" applyAlignment="1">
      <alignment horizontal="center"/>
    </xf>
    <xf numFmtId="196" fontId="0" fillId="0" borderId="0" xfId="0" applyNumberFormat="1"/>
    <xf numFmtId="197" fontId="0" fillId="0" borderId="0" xfId="1" applyNumberFormat="1" applyFont="1"/>
    <xf numFmtId="198" fontId="0" fillId="0" borderId="0" xfId="0" applyNumberFormat="1"/>
    <xf numFmtId="0" fontId="0" fillId="0" borderId="0" xfId="0" applyAlignment="1">
      <alignment horizontal="center"/>
    </xf>
    <xf numFmtId="200" fontId="0" fillId="5" borderId="0" xfId="0" applyNumberFormat="1" applyFill="1"/>
    <xf numFmtId="199" fontId="0" fillId="5" borderId="0" xfId="0" applyNumberFormat="1" applyFill="1"/>
    <xf numFmtId="200" fontId="0" fillId="6" borderId="0" xfId="0" applyNumberFormat="1" applyFill="1"/>
    <xf numFmtId="199" fontId="0" fillId="6" borderId="0" xfId="0" applyNumberFormat="1" applyFill="1"/>
    <xf numFmtId="200" fontId="0" fillId="7" borderId="0" xfId="0" applyNumberFormat="1" applyFill="1"/>
    <xf numFmtId="199" fontId="0" fillId="7" borderId="0" xfId="0" applyNumberFormat="1" applyFill="1"/>
    <xf numFmtId="182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201" fontId="0" fillId="0" borderId="5" xfId="0" applyNumberFormat="1" applyBorder="1"/>
    <xf numFmtId="0" fontId="0" fillId="0" borderId="6" xfId="0" applyBorder="1"/>
    <xf numFmtId="201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81" fontId="2" fillId="0" borderId="3" xfId="1" applyNumberFormat="1" applyFont="1" applyBorder="1" applyAlignment="1">
      <alignment horizontal="center"/>
    </xf>
    <xf numFmtId="172" fontId="0" fillId="0" borderId="4" xfId="0" applyNumberFormat="1" applyBorder="1"/>
    <xf numFmtId="172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219" fontId="0" fillId="2" borderId="0" xfId="0" applyNumberFormat="1" applyFill="1"/>
    <xf numFmtId="219" fontId="13" fillId="2" borderId="0" xfId="0" applyNumberFormat="1" applyFont="1" applyFill="1" applyAlignment="1">
      <alignment horizontal="center"/>
    </xf>
    <xf numFmtId="195" fontId="0" fillId="3" borderId="0" xfId="0" applyNumberFormat="1" applyFill="1"/>
    <xf numFmtId="195" fontId="0" fillId="2" borderId="0" xfId="0" applyNumberFormat="1" applyFill="1"/>
    <xf numFmtId="222" fontId="0" fillId="0" borderId="0" xfId="0" applyNumberFormat="1"/>
    <xf numFmtId="0" fontId="0" fillId="4" borderId="0" xfId="0" applyFill="1" applyAlignment="1">
      <alignment horizontal="right"/>
    </xf>
    <xf numFmtId="227" fontId="0" fillId="0" borderId="0" xfId="0" applyNumberFormat="1"/>
    <xf numFmtId="172" fontId="0" fillId="4" borderId="0" xfId="0" applyNumberFormat="1" applyFill="1"/>
    <xf numFmtId="170" fontId="0" fillId="4" borderId="0" xfId="0" applyNumberFormat="1" applyFill="1"/>
    <xf numFmtId="195" fontId="0" fillId="0" borderId="0" xfId="0" applyNumberFormat="1" applyFont="1"/>
    <xf numFmtId="234" fontId="0" fillId="2" borderId="0" xfId="0" applyNumberFormat="1" applyFill="1"/>
    <xf numFmtId="235" fontId="13" fillId="0" borderId="0" xfId="0" applyNumberFormat="1" applyFont="1" applyFill="1" applyAlignment="1">
      <alignment horizontal="center"/>
    </xf>
    <xf numFmtId="181" fontId="7" fillId="0" borderId="0" xfId="1" applyNumberFormat="1" applyFont="1" applyAlignment="1">
      <alignment horizontal="center"/>
    </xf>
    <xf numFmtId="194" fontId="6" fillId="0" borderId="0" xfId="0" applyNumberFormat="1" applyFont="1"/>
    <xf numFmtId="239" fontId="0" fillId="3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Bitcoin'!$B$55:$B$56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Bitcoin'!$B$57:$B$72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08544"/>
        <c:axId val="142114816"/>
      </c:lineChart>
      <c:lineChart>
        <c:grouping val="standard"/>
        <c:varyColors val="0"/>
        <c:ser>
          <c:idx val="2"/>
          <c:order val="0"/>
          <c:tx>
            <c:strRef>
              <c:f>'Current Bitcoin'!$D$56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Bitcoin'!$D$57:$D$72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7888"/>
        <c:axId val="142116352"/>
      </c:lineChart>
      <c:catAx>
        <c:axId val="1421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114816"/>
        <c:crosses val="autoZero"/>
        <c:auto val="1"/>
        <c:lblAlgn val="ctr"/>
        <c:lblOffset val="100"/>
        <c:noMultiLvlLbl val="0"/>
      </c:catAx>
      <c:valAx>
        <c:axId val="1421148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2108544"/>
        <c:crosses val="autoZero"/>
        <c:crossBetween val="between"/>
      </c:valAx>
      <c:valAx>
        <c:axId val="14211635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2117888"/>
        <c:crosses val="max"/>
        <c:crossBetween val="between"/>
      </c:valAx>
      <c:catAx>
        <c:axId val="1421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163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Bitcoin'!$B$79:$B$80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Bitcoin'!$B$81:$B$96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49664"/>
        <c:axId val="164051584"/>
      </c:lineChart>
      <c:lineChart>
        <c:grouping val="standard"/>
        <c:varyColors val="0"/>
        <c:ser>
          <c:idx val="2"/>
          <c:order val="0"/>
          <c:tx>
            <c:strRef>
              <c:f>'Current Bitcoin'!$D$80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Bitcoin'!$D$81:$D$96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63104"/>
        <c:axId val="164061568"/>
      </c:lineChart>
      <c:catAx>
        <c:axId val="164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051584"/>
        <c:crosses val="autoZero"/>
        <c:auto val="1"/>
        <c:lblAlgn val="ctr"/>
        <c:lblOffset val="100"/>
        <c:noMultiLvlLbl val="0"/>
      </c:catAx>
      <c:valAx>
        <c:axId val="164051584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049664"/>
        <c:crosses val="autoZero"/>
        <c:crossBetween val="between"/>
      </c:valAx>
      <c:valAx>
        <c:axId val="164061568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063104"/>
        <c:crosses val="max"/>
        <c:crossBetween val="between"/>
      </c:valAx>
      <c:catAx>
        <c:axId val="1640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615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Bitcoin'!$E$104:$E$105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Bitcoin'!$E$106:$E$121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5120"/>
        <c:axId val="164095488"/>
      </c:lineChart>
      <c:lineChart>
        <c:grouping val="standard"/>
        <c:varyColors val="0"/>
        <c:ser>
          <c:idx val="2"/>
          <c:order val="0"/>
          <c:tx>
            <c:strRef>
              <c:f>'Current Bitcoin'!$C$105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Bitcoin'!$C$106:$C$121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6128"/>
        <c:axId val="164097024"/>
      </c:lineChart>
      <c:catAx>
        <c:axId val="16408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095488"/>
        <c:crosses val="autoZero"/>
        <c:auto val="1"/>
        <c:lblAlgn val="ctr"/>
        <c:lblOffset val="100"/>
        <c:noMultiLvlLbl val="0"/>
      </c:catAx>
      <c:valAx>
        <c:axId val="16409548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085120"/>
        <c:crosses val="autoZero"/>
        <c:crossBetween val="between"/>
      </c:valAx>
      <c:valAx>
        <c:axId val="16409702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496128"/>
        <c:crosses val="max"/>
        <c:crossBetween val="between"/>
      </c:valAx>
      <c:catAx>
        <c:axId val="1644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0970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Bitcoin'!$E$124:$E$125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Bitcoin'!$E$126:$E$141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31200"/>
        <c:axId val="164541568"/>
      </c:lineChart>
      <c:lineChart>
        <c:grouping val="standard"/>
        <c:varyColors val="0"/>
        <c:ser>
          <c:idx val="2"/>
          <c:order val="0"/>
          <c:tx>
            <c:strRef>
              <c:f>'Current Bitcoin'!$C$125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Bitcoin'!$C$126:$C$141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4896"/>
        <c:axId val="164543104"/>
      </c:lineChart>
      <c:catAx>
        <c:axId val="1645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541568"/>
        <c:crosses val="autoZero"/>
        <c:auto val="1"/>
        <c:lblAlgn val="ctr"/>
        <c:lblOffset val="100"/>
        <c:noMultiLvlLbl val="0"/>
      </c:catAx>
      <c:valAx>
        <c:axId val="16454156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531200"/>
        <c:crosses val="autoZero"/>
        <c:crossBetween val="between"/>
      </c:valAx>
      <c:valAx>
        <c:axId val="16454310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544896"/>
        <c:crosses val="max"/>
        <c:crossBetween val="between"/>
      </c:valAx>
      <c:catAx>
        <c:axId val="16454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5431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Bitcoin'!$D$289:$D$290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Bitcoin'!$D$291:$D$306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Bitcoin'!$C$289:$C$290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Bitcoin'!$A$291:$A$306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Bitcoin'!$C$291:$C$306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87008"/>
        <c:axId val="164588928"/>
      </c:lineChart>
      <c:catAx>
        <c:axId val="1645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588928"/>
        <c:crosses val="autoZero"/>
        <c:auto val="1"/>
        <c:lblAlgn val="ctr"/>
        <c:lblOffset val="100"/>
        <c:noMultiLvlLbl val="0"/>
      </c:catAx>
      <c:valAx>
        <c:axId val="164588928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458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Bitcoin'!$C$215:$C$216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Bitcoin'!$C$217:$C$232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1200"/>
        <c:axId val="164613120"/>
      </c:lineChart>
      <c:lineChart>
        <c:grouping val="standard"/>
        <c:varyColors val="0"/>
        <c:ser>
          <c:idx val="2"/>
          <c:order val="1"/>
          <c:tx>
            <c:strRef>
              <c:f>'Current Bitcoin'!$B$216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Bitcoin'!$A$217:$A$232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Bitcoin'!$B$217:$B$232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2832"/>
        <c:axId val="164631296"/>
      </c:lineChart>
      <c:catAx>
        <c:axId val="164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13120"/>
        <c:crosses val="autoZero"/>
        <c:auto val="1"/>
        <c:lblAlgn val="ctr"/>
        <c:lblOffset val="100"/>
        <c:noMultiLvlLbl val="0"/>
      </c:catAx>
      <c:valAx>
        <c:axId val="164613120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4611200"/>
        <c:crosses val="autoZero"/>
        <c:crossBetween val="between"/>
      </c:valAx>
      <c:valAx>
        <c:axId val="164631296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4632832"/>
        <c:crosses val="max"/>
        <c:crossBetween val="between"/>
      </c:valAx>
      <c:catAx>
        <c:axId val="16463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12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Bitcoin'!$C$239:$C$240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Bitcoin'!$C$241:$C$256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Bitcoin'!$B$239:$B$240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Bitcoin'!$B$241:$B$256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49600"/>
        <c:axId val="164655872"/>
      </c:lineChart>
      <c:catAx>
        <c:axId val="1646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655872"/>
        <c:crosses val="autoZero"/>
        <c:auto val="1"/>
        <c:lblAlgn val="ctr"/>
        <c:lblOffset val="100"/>
        <c:noMultiLvlLbl val="0"/>
      </c:catAx>
      <c:valAx>
        <c:axId val="164655872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4649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Bitcoin'!$A$57:$A$72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01312"/>
        <c:axId val="164703232"/>
      </c:lineChart>
      <c:catAx>
        <c:axId val="1647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703232"/>
        <c:crosses val="autoZero"/>
        <c:auto val="1"/>
        <c:lblAlgn val="ctr"/>
        <c:lblOffset val="100"/>
        <c:noMultiLvlLbl val="0"/>
      </c:catAx>
      <c:valAx>
        <c:axId val="164703232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647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55</xdr:row>
      <xdr:rowOff>28575</xdr:rowOff>
    </xdr:from>
    <xdr:to>
      <xdr:col>10</xdr:col>
      <xdr:colOff>447675</xdr:colOff>
      <xdr:row>72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79</xdr:row>
      <xdr:rowOff>85725</xdr:rowOff>
    </xdr:from>
    <xdr:to>
      <xdr:col>10</xdr:col>
      <xdr:colOff>400049</xdr:colOff>
      <xdr:row>96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142</xdr:row>
      <xdr:rowOff>76199</xdr:rowOff>
    </xdr:from>
    <xdr:to>
      <xdr:col>4</xdr:col>
      <xdr:colOff>361949</xdr:colOff>
      <xdr:row>160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142</xdr:row>
      <xdr:rowOff>47625</xdr:rowOff>
    </xdr:from>
    <xdr:to>
      <xdr:col>10</xdr:col>
      <xdr:colOff>219074</xdr:colOff>
      <xdr:row>160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287</xdr:row>
      <xdr:rowOff>104775</xdr:rowOff>
    </xdr:from>
    <xdr:to>
      <xdr:col>10</xdr:col>
      <xdr:colOff>323849</xdr:colOff>
      <xdr:row>305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213</xdr:row>
      <xdr:rowOff>133350</xdr:rowOff>
    </xdr:from>
    <xdr:to>
      <xdr:col>9</xdr:col>
      <xdr:colOff>133349</xdr:colOff>
      <xdr:row>230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238</xdr:row>
      <xdr:rowOff>57150</xdr:rowOff>
    </xdr:from>
    <xdr:to>
      <xdr:col>8</xdr:col>
      <xdr:colOff>723900</xdr:colOff>
      <xdr:row>256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05"/>
  <sheetViews>
    <sheetView topLeftCell="B313" workbookViewId="0">
      <selection activeCell="K333" sqref="K333"/>
    </sheetView>
  </sheetViews>
  <sheetFormatPr defaultRowHeight="15" x14ac:dyDescent="0.25"/>
  <cols>
    <col min="1" max="1" width="12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76</v>
      </c>
      <c r="H1" s="1" t="s">
        <v>75</v>
      </c>
      <c r="J1" s="1" t="s">
        <v>15</v>
      </c>
      <c r="K1" s="1" t="s">
        <v>38</v>
      </c>
    </row>
    <row r="2" spans="1:12" x14ac:dyDescent="0.25">
      <c r="A2" s="1" t="s">
        <v>78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134</v>
      </c>
      <c r="G2" s="1" t="s">
        <v>57</v>
      </c>
      <c r="H2" s="1" t="s">
        <v>57</v>
      </c>
      <c r="I2" s="1" t="s">
        <v>15</v>
      </c>
      <c r="J2" s="1" t="s">
        <v>16</v>
      </c>
      <c r="K2" s="1" t="s">
        <v>16</v>
      </c>
    </row>
    <row r="3" spans="1:12" x14ac:dyDescent="0.25">
      <c r="A3" s="2" t="s">
        <v>82</v>
      </c>
      <c r="B3" s="16">
        <v>1000</v>
      </c>
      <c r="C3" s="17">
        <v>10000</v>
      </c>
      <c r="D3" s="17">
        <v>20</v>
      </c>
      <c r="E3" s="18">
        <v>50000</v>
      </c>
      <c r="F3" s="144">
        <v>90</v>
      </c>
      <c r="G3" s="21">
        <v>8</v>
      </c>
      <c r="H3" s="64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81</v>
      </c>
      <c r="B4" s="16">
        <v>50</v>
      </c>
      <c r="C4" s="17">
        <v>2000</v>
      </c>
      <c r="D4" s="17">
        <v>8</v>
      </c>
      <c r="E4" s="18">
        <v>5000</v>
      </c>
      <c r="F4" s="144">
        <v>130</v>
      </c>
      <c r="G4" s="21">
        <v>8</v>
      </c>
      <c r="H4" s="61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80</v>
      </c>
      <c r="B5" s="16">
        <v>1</v>
      </c>
      <c r="C5" s="17">
        <v>128</v>
      </c>
      <c r="D5" s="17">
        <v>2</v>
      </c>
      <c r="E5" s="18">
        <v>200</v>
      </c>
      <c r="F5" s="144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8</v>
      </c>
      <c r="B6" s="183">
        <v>0.25</v>
      </c>
      <c r="C6" s="183">
        <v>0.25</v>
      </c>
      <c r="D6" s="183">
        <v>0.15</v>
      </c>
      <c r="E6" s="183">
        <v>0.17</v>
      </c>
      <c r="F6" s="184">
        <v>-0.03</v>
      </c>
    </row>
    <row r="7" spans="1:12" x14ac:dyDescent="0.25">
      <c r="H7" s="174" t="s">
        <v>164</v>
      </c>
      <c r="I7" s="174"/>
      <c r="J7" s="174"/>
      <c r="K7" s="174"/>
    </row>
    <row r="8" spans="1:12" x14ac:dyDescent="0.25">
      <c r="H8" s="175" t="s">
        <v>163</v>
      </c>
      <c r="I8" s="175"/>
      <c r="J8" s="175"/>
      <c r="K8" s="175"/>
    </row>
    <row r="9" spans="1:12" x14ac:dyDescent="0.25">
      <c r="A9" t="s">
        <v>11</v>
      </c>
      <c r="B9" s="4" t="s">
        <v>12</v>
      </c>
      <c r="C9" s="1" t="s">
        <v>18</v>
      </c>
      <c r="D9" s="1" t="s">
        <v>13</v>
      </c>
      <c r="E9" s="1" t="s">
        <v>19</v>
      </c>
      <c r="H9" s="98" t="s">
        <v>150</v>
      </c>
      <c r="I9" s="149"/>
      <c r="J9" s="98" t="s">
        <v>151</v>
      </c>
      <c r="K9" s="98" t="s">
        <v>152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H10" s="98" t="s">
        <v>134</v>
      </c>
      <c r="I10" s="98" t="s">
        <v>149</v>
      </c>
      <c r="J10" s="98" t="s">
        <v>134</v>
      </c>
      <c r="K10" s="98" t="s">
        <v>153</v>
      </c>
    </row>
    <row r="11" spans="1:12" x14ac:dyDescent="0.25">
      <c r="H11" s="150">
        <v>15</v>
      </c>
      <c r="I11" s="151">
        <v>1000</v>
      </c>
      <c r="J11" s="150">
        <f>(I11/299792)*1.5*1000+H11</f>
        <v>20.003469071889842</v>
      </c>
      <c r="K11" s="156">
        <f>0.1%*0.01</f>
        <v>1.0000000000000001E-5</v>
      </c>
      <c r="L11">
        <f>COS(6371/I11)</f>
        <v>0.99614676697572757</v>
      </c>
    </row>
    <row r="12" spans="1:12" x14ac:dyDescent="0.25">
      <c r="D12" s="1" t="s">
        <v>40</v>
      </c>
      <c r="E12" s="1" t="s">
        <v>33</v>
      </c>
      <c r="H12" s="150">
        <v>15</v>
      </c>
      <c r="I12" s="151">
        <v>2000</v>
      </c>
      <c r="J12" s="150">
        <f>(I12/299792)*1.5*1000+H12</f>
        <v>25.006938143779685</v>
      </c>
      <c r="K12" s="156">
        <f>0.01*0.4%</f>
        <v>4.0000000000000003E-5</v>
      </c>
      <c r="L12" s="97">
        <f t="shared" ref="L12:L28" si="0">COS(6371/I12)</f>
        <v>-0.99903622731503772</v>
      </c>
    </row>
    <row r="13" spans="1:12" x14ac:dyDescent="0.25">
      <c r="A13" s="1" t="s">
        <v>79</v>
      </c>
      <c r="B13" s="1" t="s">
        <v>22</v>
      </c>
      <c r="C13" s="1" t="s">
        <v>24</v>
      </c>
      <c r="D13" s="1" t="s">
        <v>61</v>
      </c>
      <c r="E13" s="1" t="s">
        <v>41</v>
      </c>
      <c r="H13" s="150">
        <v>15</v>
      </c>
      <c r="I13" s="151">
        <v>5000</v>
      </c>
      <c r="J13" s="150">
        <f>(I13/299792)*1.5*1000+H13</f>
        <v>40.017345359449216</v>
      </c>
      <c r="K13" s="156">
        <f>0.01*2.5%</f>
        <v>2.5000000000000001E-4</v>
      </c>
      <c r="L13" s="97">
        <f t="shared" si="0"/>
        <v>0.29226684793198021</v>
      </c>
    </row>
    <row r="14" spans="1:12" x14ac:dyDescent="0.25">
      <c r="A14" s="1" t="s">
        <v>179</v>
      </c>
      <c r="B14" s="1" t="s">
        <v>23</v>
      </c>
      <c r="C14" s="1" t="s">
        <v>25</v>
      </c>
      <c r="D14" s="1" t="s">
        <v>60</v>
      </c>
      <c r="E14" s="1" t="s">
        <v>42</v>
      </c>
      <c r="H14" s="150">
        <v>15</v>
      </c>
      <c r="I14" s="151">
        <v>10000</v>
      </c>
      <c r="J14" s="150">
        <f>(I14/299792)*1.5*1000+H14</f>
        <v>65.034690718898432</v>
      </c>
      <c r="K14" s="156">
        <f>0.01*10%</f>
        <v>1E-3</v>
      </c>
      <c r="L14" s="97">
        <f t="shared" si="0"/>
        <v>0.80382424942644648</v>
      </c>
    </row>
    <row r="15" spans="1:12" x14ac:dyDescent="0.25">
      <c r="A15" s="22">
        <v>475</v>
      </c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H15" s="150">
        <v>15</v>
      </c>
      <c r="I15" s="151">
        <v>20000</v>
      </c>
      <c r="J15" s="150">
        <f t="shared" ref="J15:J28" si="1">(I15/299792)*1.5*1000+H15</f>
        <v>115.06938143779686</v>
      </c>
      <c r="K15" s="156">
        <f>0.01*50%</f>
        <v>5.0000000000000001E-3</v>
      </c>
      <c r="L15" s="97">
        <f t="shared" si="0"/>
        <v>0.94969054155194321</v>
      </c>
    </row>
    <row r="16" spans="1:12" x14ac:dyDescent="0.25">
      <c r="H16" s="150">
        <v>15</v>
      </c>
      <c r="I16" s="151">
        <v>40000</v>
      </c>
      <c r="J16" s="150">
        <f t="shared" si="1"/>
        <v>215.13876287559373</v>
      </c>
      <c r="K16" s="156">
        <f>0.01*100%</f>
        <v>0.01</v>
      </c>
      <c r="L16" s="97">
        <f t="shared" si="0"/>
        <v>0.98734252960964441</v>
      </c>
    </row>
    <row r="17" spans="1:12" x14ac:dyDescent="0.25">
      <c r="A17" s="1" t="s">
        <v>180</v>
      </c>
      <c r="B17" s="1" t="s">
        <v>51</v>
      </c>
      <c r="C17" s="1" t="s">
        <v>52</v>
      </c>
      <c r="D17" s="1" t="s">
        <v>36</v>
      </c>
      <c r="E17" s="1" t="s">
        <v>33</v>
      </c>
      <c r="F17" s="98" t="s">
        <v>132</v>
      </c>
      <c r="H17" s="152">
        <v>25</v>
      </c>
      <c r="I17" s="153">
        <v>1000</v>
      </c>
      <c r="J17" s="152">
        <f t="shared" si="1"/>
        <v>30.003469071889842</v>
      </c>
      <c r="K17" s="156">
        <f>0.1*0.1%</f>
        <v>1E-4</v>
      </c>
      <c r="L17" s="97">
        <f t="shared" si="0"/>
        <v>0.99614676697572757</v>
      </c>
    </row>
    <row r="18" spans="1:12" x14ac:dyDescent="0.25">
      <c r="A18" s="47" t="s">
        <v>62</v>
      </c>
      <c r="B18" s="1" t="s">
        <v>72</v>
      </c>
      <c r="C18" s="1" t="s">
        <v>73</v>
      </c>
      <c r="D18" s="1" t="s">
        <v>37</v>
      </c>
      <c r="E18" s="1" t="s">
        <v>34</v>
      </c>
      <c r="F18" s="98" t="s">
        <v>131</v>
      </c>
      <c r="H18" s="152">
        <v>25</v>
      </c>
      <c r="I18" s="153">
        <v>2000</v>
      </c>
      <c r="J18" s="152">
        <f t="shared" si="1"/>
        <v>35.006938143779685</v>
      </c>
      <c r="K18" s="156">
        <f>0.1*0.4%</f>
        <v>4.0000000000000002E-4</v>
      </c>
      <c r="L18" s="97">
        <f t="shared" si="0"/>
        <v>-0.99903622731503772</v>
      </c>
    </row>
    <row r="19" spans="1:12" x14ac:dyDescent="0.25">
      <c r="A19" s="48">
        <v>36</v>
      </c>
      <c r="B19" s="34">
        <v>210</v>
      </c>
      <c r="C19" s="58">
        <v>2000</v>
      </c>
      <c r="D19" s="34">
        <v>3</v>
      </c>
      <c r="E19" s="33">
        <v>0.5</v>
      </c>
      <c r="F19" s="135">
        <v>7</v>
      </c>
      <c r="H19" s="152">
        <v>25</v>
      </c>
      <c r="I19" s="153">
        <v>5000</v>
      </c>
      <c r="J19" s="152">
        <f t="shared" si="1"/>
        <v>50.017345359449216</v>
      </c>
      <c r="K19" s="156">
        <f>0.1*2.5%</f>
        <v>2.5000000000000005E-3</v>
      </c>
      <c r="L19" s="97">
        <f t="shared" si="0"/>
        <v>0.29226684793198021</v>
      </c>
    </row>
    <row r="20" spans="1:12" s="97" customFormat="1" x14ac:dyDescent="0.25">
      <c r="B20"/>
      <c r="C20"/>
      <c r="D20"/>
      <c r="E20"/>
      <c r="F20"/>
      <c r="H20" s="152">
        <v>25</v>
      </c>
      <c r="I20" s="153">
        <v>10000</v>
      </c>
      <c r="J20" s="152">
        <f t="shared" si="1"/>
        <v>75.034690718898432</v>
      </c>
      <c r="K20" s="156">
        <f>0.1*10%</f>
        <v>1.0000000000000002E-2</v>
      </c>
      <c r="L20" s="97">
        <f t="shared" si="0"/>
        <v>0.80382424942644648</v>
      </c>
    </row>
    <row r="21" spans="1:12" s="97" customFormat="1" x14ac:dyDescent="0.25">
      <c r="B21"/>
      <c r="C21" s="98" t="s">
        <v>160</v>
      </c>
      <c r="D21" s="98" t="s">
        <v>135</v>
      </c>
      <c r="E21" s="173" t="s">
        <v>167</v>
      </c>
      <c r="F21" s="173" t="s">
        <v>168</v>
      </c>
      <c r="H21" s="152">
        <v>25</v>
      </c>
      <c r="I21" s="153">
        <v>20000</v>
      </c>
      <c r="J21" s="152">
        <f t="shared" si="1"/>
        <v>125.06938143779686</v>
      </c>
      <c r="K21" s="156">
        <f>0.1*50%</f>
        <v>0.05</v>
      </c>
      <c r="L21" s="97">
        <f t="shared" si="0"/>
        <v>0.94969054155194321</v>
      </c>
    </row>
    <row r="22" spans="1:12" s="97" customFormat="1" x14ac:dyDescent="0.25">
      <c r="A22" s="1" t="s">
        <v>75</v>
      </c>
      <c r="B22" s="1" t="s">
        <v>76</v>
      </c>
      <c r="C22" s="138" t="s">
        <v>159</v>
      </c>
      <c r="D22" s="98" t="s">
        <v>161</v>
      </c>
      <c r="E22" s="173" t="s">
        <v>150</v>
      </c>
      <c r="F22" s="173" t="s">
        <v>136</v>
      </c>
      <c r="H22" s="152">
        <v>25</v>
      </c>
      <c r="I22" s="153">
        <v>40000</v>
      </c>
      <c r="J22" s="152">
        <f t="shared" si="1"/>
        <v>225.13876287559373</v>
      </c>
      <c r="K22" s="156">
        <f>0.1*100%</f>
        <v>0.1</v>
      </c>
      <c r="L22" s="97">
        <f t="shared" si="0"/>
        <v>0.98734252960964441</v>
      </c>
    </row>
    <row r="23" spans="1:12" s="97" customFormat="1" x14ac:dyDescent="0.25">
      <c r="A23" s="1" t="s">
        <v>59</v>
      </c>
      <c r="B23" s="1" t="s">
        <v>59</v>
      </c>
      <c r="C23" s="138" t="s">
        <v>137</v>
      </c>
      <c r="D23" s="98" t="s">
        <v>162</v>
      </c>
      <c r="E23" s="173" t="s">
        <v>134</v>
      </c>
      <c r="F23" s="173" t="s">
        <v>134</v>
      </c>
      <c r="H23" s="154">
        <v>45</v>
      </c>
      <c r="I23" s="155">
        <v>1000</v>
      </c>
      <c r="J23" s="154">
        <f t="shared" si="1"/>
        <v>50.003469071889846</v>
      </c>
      <c r="K23" s="156">
        <f>0.9*0.1%</f>
        <v>9.0000000000000008E-4</v>
      </c>
      <c r="L23" s="97">
        <f t="shared" si="0"/>
        <v>0.99614676697572757</v>
      </c>
    </row>
    <row r="24" spans="1:12" s="97" customFormat="1" x14ac:dyDescent="0.25">
      <c r="A24" s="20">
        <v>0.1</v>
      </c>
      <c r="B24" s="20">
        <v>0.9</v>
      </c>
      <c r="C24" s="141">
        <f>9/1000</f>
        <v>8.9999999999999993E-3</v>
      </c>
      <c r="D24" s="104">
        <v>0.01</v>
      </c>
      <c r="E24" s="186">
        <v>15</v>
      </c>
      <c r="F24" s="185">
        <f>(10000/299792)*1000</f>
        <v>33.356460479265621</v>
      </c>
      <c r="H24" s="154">
        <v>45</v>
      </c>
      <c r="I24" s="155">
        <v>2000</v>
      </c>
      <c r="J24" s="154">
        <f t="shared" si="1"/>
        <v>55.006938143779685</v>
      </c>
      <c r="K24" s="156">
        <f>0.9*0.4%</f>
        <v>3.6000000000000003E-3</v>
      </c>
      <c r="L24" s="97">
        <f t="shared" si="0"/>
        <v>-0.99903622731503772</v>
      </c>
    </row>
    <row r="25" spans="1:12" s="97" customFormat="1" x14ac:dyDescent="0.25">
      <c r="B25"/>
      <c r="C25"/>
      <c r="D25"/>
      <c r="H25" s="154">
        <v>45</v>
      </c>
      <c r="I25" s="155">
        <v>5000</v>
      </c>
      <c r="J25" s="154">
        <f t="shared" si="1"/>
        <v>70.017345359449223</v>
      </c>
      <c r="K25" s="156">
        <f>0.9*2.5%</f>
        <v>2.2500000000000003E-2</v>
      </c>
      <c r="L25" s="97">
        <f t="shared" si="0"/>
        <v>0.29226684793198021</v>
      </c>
    </row>
    <row r="26" spans="1:12" s="97" customFormat="1" x14ac:dyDescent="0.25">
      <c r="B26"/>
      <c r="C26"/>
      <c r="D26"/>
      <c r="E26"/>
      <c r="F26" s="98"/>
      <c r="H26" s="154">
        <v>45</v>
      </c>
      <c r="I26" s="155">
        <v>10000</v>
      </c>
      <c r="J26" s="154">
        <f t="shared" si="1"/>
        <v>95.034690718898432</v>
      </c>
      <c r="K26" s="156">
        <f>0.9*10%</f>
        <v>9.0000000000000011E-2</v>
      </c>
      <c r="L26" s="97">
        <f t="shared" si="0"/>
        <v>0.80382424942644648</v>
      </c>
    </row>
    <row r="27" spans="1:12" s="97" customFormat="1" x14ac:dyDescent="0.25">
      <c r="B27"/>
      <c r="C27"/>
      <c r="D27"/>
      <c r="E27"/>
      <c r="F27" s="98"/>
      <c r="H27" s="154">
        <v>45</v>
      </c>
      <c r="I27" s="155">
        <v>20000</v>
      </c>
      <c r="J27" s="154">
        <f t="shared" si="1"/>
        <v>145.06938143779686</v>
      </c>
      <c r="K27" s="156">
        <f>0.9*50%</f>
        <v>0.45</v>
      </c>
      <c r="L27" s="97">
        <f t="shared" si="0"/>
        <v>0.94969054155194321</v>
      </c>
    </row>
    <row r="28" spans="1:12" s="97" customFormat="1" x14ac:dyDescent="0.25">
      <c r="B28"/>
      <c r="C28"/>
      <c r="D28"/>
      <c r="E28"/>
      <c r="F28" s="98"/>
      <c r="H28" s="154">
        <v>45</v>
      </c>
      <c r="I28" s="155">
        <v>40000</v>
      </c>
      <c r="J28" s="154">
        <f t="shared" si="1"/>
        <v>245.13876287559373</v>
      </c>
      <c r="K28" s="156">
        <f>0.9*100%</f>
        <v>0.9</v>
      </c>
      <c r="L28" s="97">
        <f t="shared" si="0"/>
        <v>0.98734252960964441</v>
      </c>
    </row>
    <row r="29" spans="1:12" s="97" customFormat="1" x14ac:dyDescent="0.25">
      <c r="B29"/>
      <c r="C29"/>
      <c r="D29"/>
      <c r="E29"/>
    </row>
    <row r="30" spans="1:12" s="97" customFormat="1" x14ac:dyDescent="0.25">
      <c r="A30" s="11" t="s">
        <v>125</v>
      </c>
    </row>
    <row r="31" spans="1:12" s="97" customFormat="1" x14ac:dyDescent="0.25"/>
    <row r="32" spans="1:12" s="97" customFormat="1" x14ac:dyDescent="0.25">
      <c r="A32" s="98" t="s">
        <v>7</v>
      </c>
      <c r="B32" s="98" t="s">
        <v>72</v>
      </c>
      <c r="C32" s="98" t="s">
        <v>35</v>
      </c>
    </row>
    <row r="33" spans="1:3" s="97" customFormat="1" x14ac:dyDescent="0.25">
      <c r="A33" s="97">
        <v>0</v>
      </c>
      <c r="B33" s="93">
        <f t="shared" ref="B33:B48" si="2">curChainSize+A33*curMaxBlocksize*(secondsPerYear/secondsPerBlock)/KBperGB</f>
        <v>210</v>
      </c>
      <c r="C33" s="91">
        <f xml:space="preserve"> utxoSize</f>
        <v>3</v>
      </c>
    </row>
    <row r="34" spans="1:3" s="97" customFormat="1" x14ac:dyDescent="0.25">
      <c r="A34" s="97">
        <v>1</v>
      </c>
      <c r="B34" s="93">
        <f t="shared" si="2"/>
        <v>315.12</v>
      </c>
      <c r="C34" s="93">
        <f xml:space="preserve"> C33 + MIN(C33*utxoGrowth, curMaxBlocksize*secondsPerYear/secondsPerBlock/KBperGB)</f>
        <v>4.5</v>
      </c>
    </row>
    <row r="35" spans="1:3" s="97" customFormat="1" x14ac:dyDescent="0.25">
      <c r="A35" s="97">
        <v>2</v>
      </c>
      <c r="B35" s="93">
        <f t="shared" si="2"/>
        <v>420.24</v>
      </c>
      <c r="C35" s="93">
        <f xml:space="preserve"> C34 + MIN(C34*utxoGrowth, curMaxBlocksize*secondsPerYear/secondsPerBlock/KBperGB)</f>
        <v>6.75</v>
      </c>
    </row>
    <row r="36" spans="1:3" s="97" customFormat="1" x14ac:dyDescent="0.25">
      <c r="A36" s="97">
        <v>3</v>
      </c>
      <c r="B36" s="93">
        <f t="shared" si="2"/>
        <v>525.36</v>
      </c>
      <c r="C36" s="93">
        <f t="shared" ref="C36:C48" si="3" xml:space="preserve"> C35 + MIN(C35*utxoGrowth, curMaxBlocksize*secondsPerYear/secondsPerBlock/KBperGB)</f>
        <v>10.125</v>
      </c>
    </row>
    <row r="37" spans="1:3" s="97" customFormat="1" x14ac:dyDescent="0.25">
      <c r="A37" s="97">
        <v>4</v>
      </c>
      <c r="B37" s="93">
        <f t="shared" si="2"/>
        <v>630.48</v>
      </c>
      <c r="C37" s="93">
        <f t="shared" si="3"/>
        <v>15.1875</v>
      </c>
    </row>
    <row r="38" spans="1:3" s="97" customFormat="1" x14ac:dyDescent="0.25">
      <c r="A38" s="97">
        <v>5</v>
      </c>
      <c r="B38" s="93">
        <f t="shared" si="2"/>
        <v>735.6</v>
      </c>
      <c r="C38" s="93">
        <f t="shared" si="3"/>
        <v>22.78125</v>
      </c>
    </row>
    <row r="39" spans="1:3" s="97" customFormat="1" x14ac:dyDescent="0.25">
      <c r="A39" s="97">
        <v>6</v>
      </c>
      <c r="B39" s="93">
        <f t="shared" si="2"/>
        <v>840.72</v>
      </c>
      <c r="C39" s="93">
        <f t="shared" si="3"/>
        <v>34.171875</v>
      </c>
    </row>
    <row r="40" spans="1:3" s="97" customFormat="1" x14ac:dyDescent="0.25">
      <c r="A40" s="97">
        <v>7</v>
      </c>
      <c r="B40" s="93">
        <f t="shared" si="2"/>
        <v>945.84</v>
      </c>
      <c r="C40" s="93">
        <f t="shared" si="3"/>
        <v>51.2578125</v>
      </c>
    </row>
    <row r="41" spans="1:3" s="97" customFormat="1" x14ac:dyDescent="0.25">
      <c r="A41" s="97">
        <v>8</v>
      </c>
      <c r="B41" s="93">
        <f t="shared" si="2"/>
        <v>1050.96</v>
      </c>
      <c r="C41" s="93">
        <f t="shared" si="3"/>
        <v>76.88671875</v>
      </c>
    </row>
    <row r="42" spans="1:3" s="97" customFormat="1" x14ac:dyDescent="0.25">
      <c r="A42" s="97">
        <v>9</v>
      </c>
      <c r="B42" s="93">
        <f t="shared" si="2"/>
        <v>1156.08</v>
      </c>
      <c r="C42" s="93">
        <f t="shared" si="3"/>
        <v>115.330078125</v>
      </c>
    </row>
    <row r="43" spans="1:3" s="97" customFormat="1" x14ac:dyDescent="0.25">
      <c r="A43" s="97">
        <v>10</v>
      </c>
      <c r="B43" s="93">
        <f t="shared" si="2"/>
        <v>1261.2</v>
      </c>
      <c r="C43" s="93">
        <f t="shared" si="3"/>
        <v>172.9951171875</v>
      </c>
    </row>
    <row r="44" spans="1:3" s="97" customFormat="1" x14ac:dyDescent="0.25">
      <c r="A44" s="97">
        <v>11</v>
      </c>
      <c r="B44" s="93">
        <f t="shared" si="2"/>
        <v>1366.32</v>
      </c>
      <c r="C44" s="93">
        <f t="shared" si="3"/>
        <v>259.49267578125</v>
      </c>
    </row>
    <row r="45" spans="1:3" s="97" customFormat="1" x14ac:dyDescent="0.25">
      <c r="A45" s="97">
        <v>12</v>
      </c>
      <c r="B45" s="93">
        <f t="shared" si="2"/>
        <v>1471.44</v>
      </c>
      <c r="C45" s="93">
        <f t="shared" si="3"/>
        <v>364.61267578125</v>
      </c>
    </row>
    <row r="46" spans="1:3" s="97" customFormat="1" x14ac:dyDescent="0.25">
      <c r="A46" s="97">
        <v>13</v>
      </c>
      <c r="B46" s="93">
        <f t="shared" si="2"/>
        <v>1576.56</v>
      </c>
      <c r="C46" s="93">
        <f t="shared" si="3"/>
        <v>469.73267578125001</v>
      </c>
    </row>
    <row r="47" spans="1:3" s="97" customFormat="1" x14ac:dyDescent="0.25">
      <c r="A47" s="97">
        <v>14</v>
      </c>
      <c r="B47" s="93">
        <f t="shared" si="2"/>
        <v>1681.68</v>
      </c>
      <c r="C47" s="93">
        <f t="shared" si="3"/>
        <v>574.85267578125001</v>
      </c>
    </row>
    <row r="48" spans="1:3" s="97" customFormat="1" x14ac:dyDescent="0.25">
      <c r="A48" s="97">
        <v>15</v>
      </c>
      <c r="B48" s="93">
        <f t="shared" si="2"/>
        <v>1786.8</v>
      </c>
      <c r="C48" s="93">
        <f t="shared" si="3"/>
        <v>679.97267578125002</v>
      </c>
    </row>
    <row r="49" spans="1:11" s="97" customFormat="1" x14ac:dyDescent="0.25"/>
    <row r="50" spans="1:11" x14ac:dyDescent="0.25">
      <c r="A50" s="11" t="s">
        <v>5</v>
      </c>
    </row>
    <row r="51" spans="1:11" x14ac:dyDescent="0.25">
      <c r="A51" s="11"/>
      <c r="G51" s="38" t="s">
        <v>76</v>
      </c>
      <c r="H51" s="38" t="s">
        <v>75</v>
      </c>
    </row>
    <row r="52" spans="1:11" x14ac:dyDescent="0.25">
      <c r="A52" s="2" t="s">
        <v>6</v>
      </c>
      <c r="C52" s="38" t="s">
        <v>2</v>
      </c>
      <c r="D52" s="38" t="s">
        <v>3</v>
      </c>
      <c r="G52" s="38" t="s">
        <v>57</v>
      </c>
      <c r="H52" s="38" t="s">
        <v>57</v>
      </c>
    </row>
    <row r="53" spans="1:11" x14ac:dyDescent="0.25">
      <c r="A53" s="2" t="s">
        <v>80</v>
      </c>
      <c r="B53" s="130">
        <f>$B$5</f>
        <v>1</v>
      </c>
      <c r="C53" s="131">
        <f>$C$5</f>
        <v>128</v>
      </c>
      <c r="D53" s="131">
        <f>$D$5</f>
        <v>2</v>
      </c>
      <c r="E53" s="132">
        <f>$E$5</f>
        <v>200</v>
      </c>
      <c r="F53" s="145">
        <f>$F$5</f>
        <v>250</v>
      </c>
      <c r="G53" s="83">
        <f>$G$5</f>
        <v>8</v>
      </c>
      <c r="H53" s="83">
        <f>$H$5</f>
        <v>0</v>
      </c>
      <c r="I53" s="133">
        <f>$I$5</f>
        <v>7</v>
      </c>
      <c r="J53" s="134">
        <f>$J$5</f>
        <v>0.75</v>
      </c>
      <c r="K53" s="134">
        <f>$K$5</f>
        <v>0.1</v>
      </c>
    </row>
    <row r="55" spans="1:11" x14ac:dyDescent="0.25">
      <c r="B55" s="1" t="s">
        <v>31</v>
      </c>
    </row>
    <row r="56" spans="1:11" x14ac:dyDescent="0.25">
      <c r="A56" s="4" t="s">
        <v>7</v>
      </c>
      <c r="B56" s="1" t="s">
        <v>72</v>
      </c>
      <c r="C56" s="1" t="s">
        <v>14</v>
      </c>
      <c r="D56" s="1" t="s">
        <v>17</v>
      </c>
      <c r="E56" s="1" t="s">
        <v>20</v>
      </c>
      <c r="F56" s="1"/>
    </row>
    <row r="57" spans="1:11" x14ac:dyDescent="0.25">
      <c r="A57">
        <v>0</v>
      </c>
      <c r="B57" s="7">
        <f t="shared" ref="B57:B72" si="4">bandwidth1*resourcePercent*mbToGB*secondsPerYear*POWER(1+bandwidthGrowth,A57)*syncTime1/365</f>
        <v>56.7</v>
      </c>
      <c r="C57" s="8">
        <f t="shared" ref="C57:C72" si="5">bandwidth1*resourcePercent*LN(1+bandwidthGrowth)*mbToGB*secondsPerYear*POWER(1+bandwidthGrowth,A57)*syncTime1/365</f>
        <v>12.652239359515697</v>
      </c>
      <c r="D57" s="9">
        <f t="shared" ref="D57:D72" si="6">C57*(secondsPerBlock/secondsPerYear)*KBperGB</f>
        <v>240.71992693142499</v>
      </c>
      <c r="E57" s="10">
        <f t="shared" ref="E57:E72" si="7">D57*1000/(secondsPerBlock*avgTrSize)</f>
        <v>0.8446313225664035</v>
      </c>
      <c r="F57" s="32"/>
    </row>
    <row r="58" spans="1:11" x14ac:dyDescent="0.25">
      <c r="A58">
        <v>1</v>
      </c>
      <c r="B58" s="7">
        <f t="shared" si="4"/>
        <v>70.875</v>
      </c>
      <c r="C58" s="8">
        <f t="shared" si="5"/>
        <v>15.815299199394618</v>
      </c>
      <c r="D58" s="9">
        <f t="shared" si="6"/>
        <v>300.89990866428116</v>
      </c>
      <c r="E58" s="10">
        <f t="shared" si="7"/>
        <v>1.0557891532080039</v>
      </c>
      <c r="F58" s="7"/>
    </row>
    <row r="59" spans="1:11" x14ac:dyDescent="0.25">
      <c r="A59">
        <v>2</v>
      </c>
      <c r="B59" s="7">
        <f t="shared" si="4"/>
        <v>88.59375</v>
      </c>
      <c r="C59" s="8">
        <f t="shared" si="5"/>
        <v>19.769123999243277</v>
      </c>
      <c r="D59" s="9">
        <f t="shared" si="6"/>
        <v>376.12488583035162</v>
      </c>
      <c r="E59" s="10">
        <f t="shared" si="7"/>
        <v>1.3197364415100057</v>
      </c>
      <c r="F59" s="7"/>
    </row>
    <row r="60" spans="1:11" x14ac:dyDescent="0.25">
      <c r="A60">
        <v>3</v>
      </c>
      <c r="B60" s="7">
        <f t="shared" si="4"/>
        <v>110.7421875</v>
      </c>
      <c r="C60" s="8">
        <f t="shared" si="5"/>
        <v>24.711404999054093</v>
      </c>
      <c r="D60" s="9">
        <f t="shared" si="6"/>
        <v>470.15610728793939</v>
      </c>
      <c r="E60" s="10">
        <f t="shared" si="7"/>
        <v>1.6496705518875068</v>
      </c>
      <c r="F60" s="7"/>
    </row>
    <row r="61" spans="1:11" x14ac:dyDescent="0.25">
      <c r="A61">
        <v>4</v>
      </c>
      <c r="B61" s="7">
        <f t="shared" si="4"/>
        <v>138.427734375</v>
      </c>
      <c r="C61" s="8">
        <f t="shared" si="5"/>
        <v>30.88925624881762</v>
      </c>
      <c r="D61" s="9">
        <f t="shared" si="6"/>
        <v>587.69513410992431</v>
      </c>
      <c r="E61" s="10">
        <f t="shared" si="7"/>
        <v>2.0620881898593835</v>
      </c>
      <c r="F61" s="7"/>
    </row>
    <row r="62" spans="1:11" x14ac:dyDescent="0.25">
      <c r="A62">
        <v>5</v>
      </c>
      <c r="B62" s="7">
        <f t="shared" si="4"/>
        <v>173.03466796875</v>
      </c>
      <c r="C62" s="8">
        <f t="shared" si="5"/>
        <v>38.611570311022021</v>
      </c>
      <c r="D62" s="9">
        <f t="shared" si="6"/>
        <v>734.61891763740527</v>
      </c>
      <c r="E62" s="10">
        <f t="shared" si="7"/>
        <v>2.5776102373242287</v>
      </c>
      <c r="F62" s="7"/>
    </row>
    <row r="63" spans="1:11" x14ac:dyDescent="0.25">
      <c r="A63">
        <v>6</v>
      </c>
      <c r="B63" s="14">
        <f t="shared" si="4"/>
        <v>216.2933349609375</v>
      </c>
      <c r="C63" s="8">
        <f t="shared" si="5"/>
        <v>48.264462888777523</v>
      </c>
      <c r="D63" s="9">
        <f t="shared" si="6"/>
        <v>918.27364704675665</v>
      </c>
      <c r="E63" s="10">
        <f t="shared" si="7"/>
        <v>3.2220127966552865</v>
      </c>
      <c r="F63" s="7"/>
    </row>
    <row r="64" spans="1:11" x14ac:dyDescent="0.25">
      <c r="A64">
        <v>7</v>
      </c>
      <c r="B64" s="7">
        <f t="shared" si="4"/>
        <v>270.36666870117187</v>
      </c>
      <c r="C64" s="8">
        <f t="shared" si="5"/>
        <v>60.330578610971912</v>
      </c>
      <c r="D64" s="9">
        <f t="shared" si="6"/>
        <v>1147.8420588084459</v>
      </c>
      <c r="E64" s="10">
        <f t="shared" si="7"/>
        <v>4.0275159958191082</v>
      </c>
      <c r="F64" s="7"/>
    </row>
    <row r="65" spans="1:11" x14ac:dyDescent="0.25">
      <c r="A65">
        <v>8</v>
      </c>
      <c r="B65" s="7">
        <f t="shared" si="4"/>
        <v>337.95833587646484</v>
      </c>
      <c r="C65" s="8">
        <f t="shared" si="5"/>
        <v>75.413223263714883</v>
      </c>
      <c r="D65" s="9">
        <f t="shared" si="6"/>
        <v>1434.8025735105573</v>
      </c>
      <c r="E65" s="10">
        <f t="shared" si="7"/>
        <v>5.0343949947738844</v>
      </c>
      <c r="F65" s="7"/>
    </row>
    <row r="66" spans="1:11" x14ac:dyDescent="0.25">
      <c r="A66">
        <v>9</v>
      </c>
      <c r="B66" s="7">
        <f t="shared" si="4"/>
        <v>422.44791984558105</v>
      </c>
      <c r="C66" s="8">
        <f t="shared" si="5"/>
        <v>94.266529079643618</v>
      </c>
      <c r="D66" s="9">
        <f t="shared" si="6"/>
        <v>1793.5032168881967</v>
      </c>
      <c r="E66" s="10">
        <f t="shared" si="7"/>
        <v>6.2929937434673571</v>
      </c>
      <c r="F66" s="7"/>
    </row>
    <row r="67" spans="1:11" x14ac:dyDescent="0.25">
      <c r="A67">
        <v>10</v>
      </c>
      <c r="B67" s="7">
        <f t="shared" si="4"/>
        <v>528.05989980697632</v>
      </c>
      <c r="C67" s="8">
        <f t="shared" si="5"/>
        <v>117.83316134955453</v>
      </c>
      <c r="D67" s="9">
        <f t="shared" si="6"/>
        <v>2241.8790211102464</v>
      </c>
      <c r="E67" s="10">
        <f t="shared" si="7"/>
        <v>7.8662421793341979</v>
      </c>
      <c r="F67" s="7"/>
    </row>
    <row r="68" spans="1:11" x14ac:dyDescent="0.25">
      <c r="A68">
        <v>11</v>
      </c>
      <c r="B68" s="7">
        <f t="shared" si="4"/>
        <v>660.0748747587204</v>
      </c>
      <c r="C68" s="8">
        <f t="shared" si="5"/>
        <v>147.29145168694313</v>
      </c>
      <c r="D68" s="9">
        <f t="shared" si="6"/>
        <v>2802.348776387807</v>
      </c>
      <c r="E68" s="10">
        <f t="shared" si="7"/>
        <v>9.8328027241677436</v>
      </c>
      <c r="F68" s="7"/>
    </row>
    <row r="69" spans="1:11" x14ac:dyDescent="0.25">
      <c r="A69">
        <v>12</v>
      </c>
      <c r="B69" s="7">
        <f t="shared" si="4"/>
        <v>825.0935934484005</v>
      </c>
      <c r="C69" s="8">
        <f t="shared" si="5"/>
        <v>184.11431460867891</v>
      </c>
      <c r="D69" s="9">
        <f t="shared" si="6"/>
        <v>3502.9359704847589</v>
      </c>
      <c r="E69" s="10">
        <f t="shared" si="7"/>
        <v>12.291003405209679</v>
      </c>
      <c r="F69" s="7"/>
    </row>
    <row r="70" spans="1:11" x14ac:dyDescent="0.25">
      <c r="A70">
        <v>13</v>
      </c>
      <c r="B70" s="7">
        <f t="shared" si="4"/>
        <v>1031.3669918105006</v>
      </c>
      <c r="C70" s="8">
        <f t="shared" si="5"/>
        <v>230.14289326084864</v>
      </c>
      <c r="D70" s="9">
        <f t="shared" si="6"/>
        <v>4378.6699631059482</v>
      </c>
      <c r="E70" s="10">
        <f t="shared" si="7"/>
        <v>15.363754256512101</v>
      </c>
      <c r="F70" s="7"/>
    </row>
    <row r="71" spans="1:11" x14ac:dyDescent="0.25">
      <c r="A71">
        <v>14</v>
      </c>
      <c r="B71" s="7">
        <f t="shared" si="4"/>
        <v>1289.2087397631258</v>
      </c>
      <c r="C71" s="8">
        <f t="shared" si="5"/>
        <v>287.67861657606079</v>
      </c>
      <c r="D71" s="9">
        <f t="shared" si="6"/>
        <v>5473.3374538824364</v>
      </c>
      <c r="E71" s="10">
        <f t="shared" si="7"/>
        <v>19.204692820640126</v>
      </c>
      <c r="F71" s="7"/>
    </row>
    <row r="72" spans="1:11" x14ac:dyDescent="0.25">
      <c r="A72">
        <v>15</v>
      </c>
      <c r="B72" s="7">
        <f t="shared" si="4"/>
        <v>1611.5109247039072</v>
      </c>
      <c r="C72" s="8">
        <f t="shared" si="5"/>
        <v>359.59827072007602</v>
      </c>
      <c r="D72" s="9">
        <f t="shared" si="6"/>
        <v>6841.6718173530453</v>
      </c>
      <c r="E72" s="10">
        <f t="shared" si="7"/>
        <v>24.005866025800159</v>
      </c>
      <c r="F72" s="7"/>
    </row>
    <row r="73" spans="1:11" x14ac:dyDescent="0.25">
      <c r="F73" s="32"/>
    </row>
    <row r="74" spans="1:11" x14ac:dyDescent="0.25">
      <c r="A74" s="11" t="s">
        <v>21</v>
      </c>
    </row>
    <row r="75" spans="1:11" x14ac:dyDescent="0.25">
      <c r="A75" s="11"/>
      <c r="B75" s="97"/>
      <c r="C75" s="97"/>
      <c r="D75" s="97"/>
      <c r="E75" s="97"/>
      <c r="F75" s="97"/>
      <c r="G75" s="106" t="s">
        <v>76</v>
      </c>
      <c r="H75" s="106" t="s">
        <v>75</v>
      </c>
      <c r="I75" s="97"/>
      <c r="J75" s="97"/>
      <c r="K75" s="97"/>
    </row>
    <row r="76" spans="1:11" x14ac:dyDescent="0.25">
      <c r="A76" s="99" t="s">
        <v>6</v>
      </c>
      <c r="B76" s="97"/>
      <c r="C76" s="106" t="s">
        <v>2</v>
      </c>
      <c r="D76" s="106" t="s">
        <v>3</v>
      </c>
      <c r="E76" s="97"/>
      <c r="F76" s="97"/>
      <c r="G76" s="106" t="s">
        <v>57</v>
      </c>
      <c r="H76" s="106" t="s">
        <v>57</v>
      </c>
      <c r="I76" s="97"/>
      <c r="J76" s="97"/>
      <c r="K76" s="97"/>
    </row>
    <row r="77" spans="1:11" x14ac:dyDescent="0.25">
      <c r="A77" s="99" t="s">
        <v>80</v>
      </c>
      <c r="B77" s="130">
        <f>$B$5</f>
        <v>1</v>
      </c>
      <c r="C77" s="131">
        <f>$C$5</f>
        <v>128</v>
      </c>
      <c r="D77" s="131">
        <f>$D$5</f>
        <v>2</v>
      </c>
      <c r="E77" s="132">
        <f>$E$5</f>
        <v>200</v>
      </c>
      <c r="F77" s="145">
        <f>$F$5</f>
        <v>250</v>
      </c>
      <c r="G77" s="83">
        <f>$G$5</f>
        <v>8</v>
      </c>
      <c r="H77" s="83">
        <f>$H$5</f>
        <v>0</v>
      </c>
      <c r="I77" s="133">
        <f>$I$5</f>
        <v>7</v>
      </c>
      <c r="J77" s="134">
        <f>$J$5</f>
        <v>0.75</v>
      </c>
      <c r="K77" s="134">
        <f>$K$5</f>
        <v>0.1</v>
      </c>
    </row>
    <row r="79" spans="1:11" x14ac:dyDescent="0.25">
      <c r="B79" s="1" t="s">
        <v>31</v>
      </c>
    </row>
    <row r="80" spans="1:11" x14ac:dyDescent="0.25">
      <c r="A80" s="4" t="s">
        <v>7</v>
      </c>
      <c r="B80" s="1" t="s">
        <v>28</v>
      </c>
      <c r="C80" s="1" t="s">
        <v>14</v>
      </c>
      <c r="D80" s="1" t="s">
        <v>17</v>
      </c>
      <c r="E80" s="1" t="s">
        <v>20</v>
      </c>
      <c r="F80" s="5"/>
    </row>
    <row r="81" spans="1:6" x14ac:dyDescent="0.25">
      <c r="A81">
        <v>0</v>
      </c>
      <c r="B81" s="12">
        <f t="shared" ref="B81:B96" si="8">throughput2*resourcePercent2*secondsPerYear*POWER(1+cpuGrowth,A81)*syncTime2/365/1000/1000</f>
        <v>90.72</v>
      </c>
      <c r="C81" s="24">
        <f t="shared" ref="C81:C96" si="9">throughput2*resourcePercent2*secondsPerYear*LN(1+cpuGrowth)*POWER(1+cpuGrowth,A81)*syncTime2/365/1000/1000</f>
        <v>14.243380092012782</v>
      </c>
      <c r="D81" s="13">
        <f t="shared" ref="D81:D96" si="10">E81*secondsPerBlock*avgTrSize/1000</f>
        <v>128.72156666107443</v>
      </c>
      <c r="E81" s="6">
        <f t="shared" ref="E81:E96" si="11">C81*1000*1000/secondsPerYear</f>
        <v>0.45165461986341898</v>
      </c>
      <c r="F81" s="3"/>
    </row>
    <row r="82" spans="1:6" x14ac:dyDescent="0.25">
      <c r="A82">
        <v>1</v>
      </c>
      <c r="B82" s="12">
        <f t="shared" si="8"/>
        <v>106.14239999999999</v>
      </c>
      <c r="C82" s="24">
        <f t="shared" si="9"/>
        <v>16.664754707654954</v>
      </c>
      <c r="D82" s="13">
        <f t="shared" si="10"/>
        <v>150.60423299345706</v>
      </c>
      <c r="E82" s="6">
        <f t="shared" si="11"/>
        <v>0.52843590524020023</v>
      </c>
      <c r="F82" s="3"/>
    </row>
    <row r="83" spans="1:6" x14ac:dyDescent="0.25">
      <c r="A83">
        <v>2</v>
      </c>
      <c r="B83" s="12">
        <f t="shared" si="8"/>
        <v>124.18660799999998</v>
      </c>
      <c r="C83" s="24">
        <f t="shared" si="9"/>
        <v>19.497763007956291</v>
      </c>
      <c r="D83" s="13">
        <f t="shared" si="10"/>
        <v>176.20695260234473</v>
      </c>
      <c r="E83" s="6">
        <f t="shared" si="11"/>
        <v>0.61827000913103414</v>
      </c>
      <c r="F83" s="3"/>
    </row>
    <row r="84" spans="1:6" x14ac:dyDescent="0.25">
      <c r="A84">
        <v>3</v>
      </c>
      <c r="B84" s="12">
        <f t="shared" si="8"/>
        <v>145.29833135999999</v>
      </c>
      <c r="C84" s="24">
        <f t="shared" si="9"/>
        <v>22.812382719308864</v>
      </c>
      <c r="D84" s="13">
        <f t="shared" si="10"/>
        <v>206.16213454474334</v>
      </c>
      <c r="E84" s="6">
        <f t="shared" si="11"/>
        <v>0.72337591068330998</v>
      </c>
      <c r="F84" s="3"/>
    </row>
    <row r="85" spans="1:6" x14ac:dyDescent="0.25">
      <c r="A85">
        <v>4</v>
      </c>
      <c r="B85" s="12">
        <f t="shared" si="8"/>
        <v>169.99904769119996</v>
      </c>
      <c r="C85" s="24">
        <f t="shared" si="9"/>
        <v>26.690487781591369</v>
      </c>
      <c r="D85" s="13">
        <f t="shared" si="10"/>
        <v>241.20969741734967</v>
      </c>
      <c r="E85" s="6">
        <f t="shared" si="11"/>
        <v>0.84634981549947252</v>
      </c>
      <c r="F85" s="3"/>
    </row>
    <row r="86" spans="1:6" x14ac:dyDescent="0.25">
      <c r="A86">
        <v>5</v>
      </c>
      <c r="B86" s="12">
        <f t="shared" si="8"/>
        <v>198.8988857987039</v>
      </c>
      <c r="C86" s="24">
        <f t="shared" si="9"/>
        <v>31.2278707044619</v>
      </c>
      <c r="D86" s="13">
        <f t="shared" si="10"/>
        <v>282.21534597829907</v>
      </c>
      <c r="E86" s="6">
        <f t="shared" si="11"/>
        <v>0.99022928413438294</v>
      </c>
      <c r="F86" s="3"/>
    </row>
    <row r="87" spans="1:6" x14ac:dyDescent="0.25">
      <c r="A87">
        <v>6</v>
      </c>
      <c r="B87" s="12">
        <f t="shared" si="8"/>
        <v>232.71169638448359</v>
      </c>
      <c r="C87" s="24">
        <f t="shared" si="9"/>
        <v>36.536608724220415</v>
      </c>
      <c r="D87" s="13">
        <f t="shared" si="10"/>
        <v>330.1919547946099</v>
      </c>
      <c r="E87" s="6">
        <f t="shared" si="11"/>
        <v>1.1585682624372278</v>
      </c>
      <c r="F87" s="3"/>
    </row>
    <row r="88" spans="1:6" x14ac:dyDescent="0.25">
      <c r="A88">
        <v>7</v>
      </c>
      <c r="B88" s="12">
        <f t="shared" si="8"/>
        <v>272.27268476984574</v>
      </c>
      <c r="C88" s="24">
        <f t="shared" si="9"/>
        <v>42.747832207337886</v>
      </c>
      <c r="D88" s="13">
        <f t="shared" si="10"/>
        <v>386.3245871096936</v>
      </c>
      <c r="E88" s="6">
        <f t="shared" si="11"/>
        <v>1.3555248670515565</v>
      </c>
      <c r="F88" s="3"/>
    </row>
    <row r="89" spans="1:6" x14ac:dyDescent="0.25">
      <c r="A89">
        <v>8</v>
      </c>
      <c r="B89" s="12">
        <f t="shared" si="8"/>
        <v>318.55904118071953</v>
      </c>
      <c r="C89" s="24">
        <f t="shared" si="9"/>
        <v>50.014963682585318</v>
      </c>
      <c r="D89" s="13">
        <f t="shared" si="10"/>
        <v>451.99976691834138</v>
      </c>
      <c r="E89" s="6">
        <f t="shared" si="11"/>
        <v>1.5859640944503206</v>
      </c>
      <c r="F89" s="3"/>
    </row>
    <row r="90" spans="1:6" x14ac:dyDescent="0.25">
      <c r="A90">
        <v>9</v>
      </c>
      <c r="B90" s="12">
        <f t="shared" si="8"/>
        <v>372.71407818144172</v>
      </c>
      <c r="C90" s="24">
        <f t="shared" si="9"/>
        <v>58.517507508624817</v>
      </c>
      <c r="D90" s="13">
        <f t="shared" si="10"/>
        <v>528.83972729445941</v>
      </c>
      <c r="E90" s="6">
        <f t="shared" si="11"/>
        <v>1.8555779905068752</v>
      </c>
      <c r="F90" s="3"/>
    </row>
    <row r="91" spans="1:6" x14ac:dyDescent="0.25">
      <c r="A91">
        <v>10</v>
      </c>
      <c r="B91" s="15">
        <f t="shared" si="8"/>
        <v>436.07547147228695</v>
      </c>
      <c r="C91" s="24">
        <f t="shared" si="9"/>
        <v>68.465483785091038</v>
      </c>
      <c r="D91" s="13">
        <f t="shared" si="10"/>
        <v>618.74248093451774</v>
      </c>
      <c r="E91" s="6">
        <f t="shared" si="11"/>
        <v>2.1710262488930443</v>
      </c>
      <c r="F91" s="3"/>
    </row>
    <row r="92" spans="1:6" x14ac:dyDescent="0.25">
      <c r="A92">
        <v>11</v>
      </c>
      <c r="B92" s="12">
        <f t="shared" si="8"/>
        <v>510.20830162257562</v>
      </c>
      <c r="C92" s="24">
        <f t="shared" si="9"/>
        <v>80.104616028556507</v>
      </c>
      <c r="D92" s="13">
        <f t="shared" si="10"/>
        <v>723.9287026933855</v>
      </c>
      <c r="E92" s="6">
        <f t="shared" si="11"/>
        <v>2.5401007112048615</v>
      </c>
      <c r="F92" s="3"/>
    </row>
    <row r="93" spans="1:6" x14ac:dyDescent="0.25">
      <c r="A93">
        <v>12</v>
      </c>
      <c r="B93" s="12">
        <f t="shared" si="8"/>
        <v>596.94371289841331</v>
      </c>
      <c r="C93" s="24">
        <f t="shared" si="9"/>
        <v>93.722400753411094</v>
      </c>
      <c r="D93" s="13">
        <f t="shared" si="10"/>
        <v>846.9965821512609</v>
      </c>
      <c r="E93" s="6">
        <f t="shared" si="11"/>
        <v>2.9719178321096873</v>
      </c>
      <c r="F93" s="3"/>
    </row>
    <row r="94" spans="1:6" x14ac:dyDescent="0.25">
      <c r="A94">
        <v>13</v>
      </c>
      <c r="B94" s="12">
        <f t="shared" si="8"/>
        <v>698.4241440911436</v>
      </c>
      <c r="C94" s="24">
        <f t="shared" si="9"/>
        <v>109.65520888149099</v>
      </c>
      <c r="D94" s="13">
        <f t="shared" si="10"/>
        <v>990.98600111697533</v>
      </c>
      <c r="E94" s="6">
        <f t="shared" si="11"/>
        <v>3.4771438635683345</v>
      </c>
      <c r="F94" s="3"/>
    </row>
    <row r="95" spans="1:6" x14ac:dyDescent="0.25">
      <c r="A95">
        <v>14</v>
      </c>
      <c r="B95" s="12">
        <f t="shared" si="8"/>
        <v>817.15624858663818</v>
      </c>
      <c r="C95" s="24">
        <f t="shared" si="9"/>
        <v>128.29659439134446</v>
      </c>
      <c r="D95" s="13">
        <f t="shared" si="10"/>
        <v>1159.4536213068609</v>
      </c>
      <c r="E95" s="6">
        <f t="shared" si="11"/>
        <v>4.0682583203749507</v>
      </c>
      <c r="F95" s="3"/>
    </row>
    <row r="96" spans="1:6" x14ac:dyDescent="0.25">
      <c r="A96">
        <v>15</v>
      </c>
      <c r="B96" s="12">
        <f t="shared" si="8"/>
        <v>956.07281084636656</v>
      </c>
      <c r="C96" s="24">
        <f t="shared" si="9"/>
        <v>150.10701543787297</v>
      </c>
      <c r="D96" s="13">
        <f t="shared" si="10"/>
        <v>1356.5607369290271</v>
      </c>
      <c r="E96" s="6">
        <f t="shared" si="11"/>
        <v>4.7598622348386916</v>
      </c>
      <c r="F96" s="3"/>
    </row>
    <row r="98" spans="1:11" x14ac:dyDescent="0.25">
      <c r="A98" s="11" t="s">
        <v>71</v>
      </c>
    </row>
    <row r="99" spans="1:11" x14ac:dyDescent="0.25">
      <c r="A99" s="11"/>
      <c r="B99" s="97"/>
      <c r="C99" s="97"/>
      <c r="D99" s="97"/>
      <c r="E99" s="97"/>
      <c r="F99" s="97"/>
      <c r="G99" s="106" t="s">
        <v>76</v>
      </c>
      <c r="H99" s="106" t="s">
        <v>75</v>
      </c>
      <c r="I99" s="97"/>
      <c r="J99" s="97"/>
      <c r="K99" s="97"/>
    </row>
    <row r="100" spans="1:11" x14ac:dyDescent="0.25">
      <c r="A100" s="99" t="s">
        <v>6</v>
      </c>
      <c r="B100" s="97"/>
      <c r="C100" s="106" t="s">
        <v>2</v>
      </c>
      <c r="D100" s="106" t="s">
        <v>3</v>
      </c>
      <c r="E100" s="97"/>
      <c r="F100" s="97"/>
      <c r="G100" s="106" t="s">
        <v>57</v>
      </c>
      <c r="H100" s="106" t="s">
        <v>57</v>
      </c>
      <c r="I100" s="97"/>
      <c r="J100" s="97"/>
      <c r="K100" s="97"/>
    </row>
    <row r="101" spans="1:11" x14ac:dyDescent="0.25">
      <c r="A101" s="99" t="s">
        <v>80</v>
      </c>
      <c r="B101" s="130">
        <f>$B$5</f>
        <v>1</v>
      </c>
      <c r="C101" s="131">
        <f>$C$5</f>
        <v>128</v>
      </c>
      <c r="D101" s="131">
        <f>$D$5</f>
        <v>2</v>
      </c>
      <c r="E101" s="132">
        <f>$E$5</f>
        <v>200</v>
      </c>
      <c r="F101" s="145">
        <f>$F$5</f>
        <v>250</v>
      </c>
      <c r="G101" s="83">
        <f>$G$5</f>
        <v>8</v>
      </c>
      <c r="H101" s="83">
        <f>$H$5</f>
        <v>0</v>
      </c>
      <c r="I101" s="133">
        <f>$I$5</f>
        <v>7</v>
      </c>
      <c r="J101" s="134">
        <f>$J$5</f>
        <v>0.75</v>
      </c>
      <c r="K101" s="134">
        <f>$K$5</f>
        <v>0.1</v>
      </c>
    </row>
    <row r="103" spans="1:11" x14ac:dyDescent="0.25">
      <c r="H103" s="1" t="s">
        <v>29</v>
      </c>
    </row>
    <row r="104" spans="1:11" x14ac:dyDescent="0.25">
      <c r="B104" s="27"/>
      <c r="C104" s="27"/>
      <c r="D104" s="27"/>
      <c r="E104" s="1" t="s">
        <v>31</v>
      </c>
      <c r="F104" s="1" t="s">
        <v>27</v>
      </c>
      <c r="G104" s="1" t="s">
        <v>22</v>
      </c>
      <c r="H104" s="1" t="s">
        <v>30</v>
      </c>
      <c r="I104" s="27"/>
    </row>
    <row r="105" spans="1:11" x14ac:dyDescent="0.25">
      <c r="A105" s="4" t="s">
        <v>7</v>
      </c>
      <c r="B105" s="1" t="s">
        <v>20</v>
      </c>
      <c r="C105" s="1" t="s">
        <v>26</v>
      </c>
      <c r="D105" s="1" t="s">
        <v>8</v>
      </c>
      <c r="E105" s="1" t="s">
        <v>32</v>
      </c>
      <c r="F105" s="1" t="s">
        <v>28</v>
      </c>
      <c r="G105" s="1" t="s">
        <v>28</v>
      </c>
      <c r="H105" s="1" t="s">
        <v>28</v>
      </c>
      <c r="I105" s="1" t="s">
        <v>9</v>
      </c>
    </row>
    <row r="106" spans="1:11" x14ac:dyDescent="0.25">
      <c r="A106">
        <v>0</v>
      </c>
      <c r="B106" s="25">
        <v>4.9000000000000004</v>
      </c>
      <c r="C106" s="29">
        <v>415</v>
      </c>
      <c r="D106" s="24">
        <f t="shared" ref="D106:D121" si="12">B106*secondsPerYear/1000/1000</f>
        <v>154.5264</v>
      </c>
      <c r="E106" s="13">
        <f t="shared" ref="E106:E121" si="13">B106*secondsPerBlock*avgTrSize/1000</f>
        <v>1396.5</v>
      </c>
      <c r="F106" s="12">
        <f t="shared" ref="F106:F121" si="14">assumevalidBlockTime*D106/365</f>
        <v>88.905599999999993</v>
      </c>
      <c r="G106" s="12">
        <f t="shared" ref="G106:G121" si="15">C106-F106</f>
        <v>326.09440000000001</v>
      </c>
      <c r="H106" s="12">
        <f t="shared" ref="H106:H121" si="16">F106+G106*(1-assumevalidSpeedup)</f>
        <v>121.51503999999998</v>
      </c>
      <c r="I106" s="26">
        <f t="shared" ref="I106:I121" si="17">(H106*1000*1000/(throughput3*POWER(1+cpuGrowth,A106)))/(secondsPerYear/365)</f>
        <v>7.0321203703703699</v>
      </c>
    </row>
    <row r="107" spans="1:11" x14ac:dyDescent="0.25">
      <c r="A107">
        <v>1</v>
      </c>
      <c r="B107" s="25">
        <v>5.2</v>
      </c>
      <c r="C107" s="12">
        <f>C106+D106</f>
        <v>569.52639999999997</v>
      </c>
      <c r="D107" s="24">
        <f t="shared" si="12"/>
        <v>163.9872</v>
      </c>
      <c r="E107" s="13">
        <f t="shared" si="13"/>
        <v>1482</v>
      </c>
      <c r="F107" s="12">
        <f t="shared" si="14"/>
        <v>94.348799999999997</v>
      </c>
      <c r="G107" s="12">
        <f t="shared" si="15"/>
        <v>475.17759999999998</v>
      </c>
      <c r="H107" s="12">
        <f t="shared" si="16"/>
        <v>141.86655999999999</v>
      </c>
      <c r="I107" s="26">
        <f t="shared" si="17"/>
        <v>7.0169832225387774</v>
      </c>
    </row>
    <row r="108" spans="1:11" x14ac:dyDescent="0.25">
      <c r="A108">
        <v>2</v>
      </c>
      <c r="B108" s="25">
        <v>5.6</v>
      </c>
      <c r="C108" s="12">
        <f t="shared" ref="C108:C121" si="18">C107+D107</f>
        <v>733.5136</v>
      </c>
      <c r="D108" s="24">
        <f t="shared" si="12"/>
        <v>176.60160000000002</v>
      </c>
      <c r="E108" s="13">
        <f t="shared" si="13"/>
        <v>1596</v>
      </c>
      <c r="F108" s="12">
        <f t="shared" si="14"/>
        <v>101.60640000000001</v>
      </c>
      <c r="G108" s="12">
        <f t="shared" si="15"/>
        <v>631.90719999999999</v>
      </c>
      <c r="H108" s="12">
        <f t="shared" si="16"/>
        <v>164.79712000000001</v>
      </c>
      <c r="I108" s="26">
        <f t="shared" si="17"/>
        <v>6.9668130399374473</v>
      </c>
    </row>
    <row r="109" spans="1:11" x14ac:dyDescent="0.25">
      <c r="A109">
        <v>3</v>
      </c>
      <c r="B109" s="25">
        <v>6.3</v>
      </c>
      <c r="C109" s="12">
        <f t="shared" si="18"/>
        <v>910.11519999999996</v>
      </c>
      <c r="D109" s="24">
        <f t="shared" si="12"/>
        <v>198.67679999999999</v>
      </c>
      <c r="E109" s="13">
        <f t="shared" si="13"/>
        <v>1795.5</v>
      </c>
      <c r="F109" s="12">
        <f t="shared" si="14"/>
        <v>114.30719999999999</v>
      </c>
      <c r="G109" s="12">
        <f t="shared" si="15"/>
        <v>795.80799999999999</v>
      </c>
      <c r="H109" s="12">
        <f t="shared" si="16"/>
        <v>193.88799999999998</v>
      </c>
      <c r="I109" s="26">
        <f t="shared" si="17"/>
        <v>7.005668891530207</v>
      </c>
    </row>
    <row r="110" spans="1:11" x14ac:dyDescent="0.25">
      <c r="A110">
        <v>4</v>
      </c>
      <c r="B110" s="25">
        <v>7</v>
      </c>
      <c r="C110" s="12">
        <f t="shared" si="18"/>
        <v>1108.7919999999999</v>
      </c>
      <c r="D110" s="24">
        <f t="shared" si="12"/>
        <v>220.75200000000001</v>
      </c>
      <c r="E110" s="13">
        <f t="shared" si="13"/>
        <v>1995</v>
      </c>
      <c r="F110" s="12">
        <f t="shared" si="14"/>
        <v>127.00800000000001</v>
      </c>
      <c r="G110" s="12">
        <f t="shared" si="15"/>
        <v>981.78399999999988</v>
      </c>
      <c r="H110" s="12">
        <f t="shared" si="16"/>
        <v>225.18639999999999</v>
      </c>
      <c r="I110" s="26">
        <f t="shared" si="17"/>
        <v>6.9543248392043688</v>
      </c>
    </row>
    <row r="111" spans="1:11" x14ac:dyDescent="0.25">
      <c r="A111">
        <v>5</v>
      </c>
      <c r="B111" s="25">
        <v>8</v>
      </c>
      <c r="C111" s="12">
        <f t="shared" si="18"/>
        <v>1329.5439999999999</v>
      </c>
      <c r="D111" s="24">
        <f t="shared" si="12"/>
        <v>252.28800000000001</v>
      </c>
      <c r="E111" s="13">
        <f t="shared" si="13"/>
        <v>2280</v>
      </c>
      <c r="F111" s="12">
        <f t="shared" si="14"/>
        <v>145.15200000000002</v>
      </c>
      <c r="G111" s="12">
        <f t="shared" si="15"/>
        <v>1184.3919999999998</v>
      </c>
      <c r="H111" s="12">
        <f t="shared" si="16"/>
        <v>263.59119999999996</v>
      </c>
      <c r="I111" s="26">
        <f t="shared" si="17"/>
        <v>6.9575744200021923</v>
      </c>
    </row>
    <row r="112" spans="1:11" x14ac:dyDescent="0.25">
      <c r="A112">
        <v>6</v>
      </c>
      <c r="B112" s="25">
        <v>9.1999999999999993</v>
      </c>
      <c r="C112" s="12">
        <f t="shared" si="18"/>
        <v>1581.8319999999999</v>
      </c>
      <c r="D112" s="24">
        <f t="shared" si="12"/>
        <v>290.13120000000004</v>
      </c>
      <c r="E112" s="13">
        <f t="shared" si="13"/>
        <v>2622</v>
      </c>
      <c r="F112" s="12">
        <f t="shared" si="14"/>
        <v>166.92480000000003</v>
      </c>
      <c r="G112" s="12">
        <f t="shared" si="15"/>
        <v>1414.9071999999999</v>
      </c>
      <c r="H112" s="12">
        <f t="shared" si="16"/>
        <v>308.41552000000001</v>
      </c>
      <c r="I112" s="26">
        <f t="shared" si="17"/>
        <v>6.9578861103947567</v>
      </c>
    </row>
    <row r="113" spans="1:9" x14ac:dyDescent="0.25">
      <c r="A113">
        <v>7</v>
      </c>
      <c r="B113" s="25">
        <v>10.8</v>
      </c>
      <c r="C113" s="12">
        <f t="shared" si="18"/>
        <v>1871.9631999999999</v>
      </c>
      <c r="D113" s="24">
        <f t="shared" si="12"/>
        <v>340.58879999999999</v>
      </c>
      <c r="E113" s="13">
        <f t="shared" si="13"/>
        <v>3078</v>
      </c>
      <c r="F113" s="12">
        <f t="shared" si="14"/>
        <v>195.95519999999999</v>
      </c>
      <c r="G113" s="12">
        <f t="shared" si="15"/>
        <v>1676.0079999999998</v>
      </c>
      <c r="H113" s="12">
        <f t="shared" si="16"/>
        <v>363.55599999999993</v>
      </c>
      <c r="I113" s="26">
        <f t="shared" si="17"/>
        <v>7.0101376552459262</v>
      </c>
    </row>
    <row r="114" spans="1:9" x14ac:dyDescent="0.25">
      <c r="A114">
        <v>8</v>
      </c>
      <c r="B114" s="25">
        <v>12.5</v>
      </c>
      <c r="C114" s="12">
        <f t="shared" si="18"/>
        <v>2212.5519999999997</v>
      </c>
      <c r="D114" s="24">
        <f t="shared" si="12"/>
        <v>394.2</v>
      </c>
      <c r="E114" s="13">
        <f t="shared" si="13"/>
        <v>3562.5</v>
      </c>
      <c r="F114" s="12">
        <f t="shared" si="14"/>
        <v>226.8</v>
      </c>
      <c r="G114" s="12">
        <f t="shared" si="15"/>
        <v>1985.7519999999997</v>
      </c>
      <c r="H114" s="12">
        <f t="shared" si="16"/>
        <v>425.37519999999995</v>
      </c>
      <c r="I114" s="26">
        <f t="shared" si="17"/>
        <v>7.0103795884201165</v>
      </c>
    </row>
    <row r="115" spans="1:9" x14ac:dyDescent="0.25">
      <c r="A115">
        <v>9</v>
      </c>
      <c r="B115" s="25">
        <v>14.3</v>
      </c>
      <c r="C115" s="12">
        <f t="shared" si="18"/>
        <v>2606.7519999999995</v>
      </c>
      <c r="D115" s="24">
        <f t="shared" si="12"/>
        <v>450.96479999999997</v>
      </c>
      <c r="E115" s="13">
        <f t="shared" si="13"/>
        <v>4075.5</v>
      </c>
      <c r="F115" s="12">
        <f t="shared" si="14"/>
        <v>259.45919999999995</v>
      </c>
      <c r="G115" s="12">
        <f t="shared" si="15"/>
        <v>2347.2927999999997</v>
      </c>
      <c r="H115" s="12">
        <f t="shared" si="16"/>
        <v>494.18847999999991</v>
      </c>
      <c r="I115" s="26">
        <f t="shared" si="17"/>
        <v>6.9610719634179485</v>
      </c>
    </row>
    <row r="116" spans="1:9" x14ac:dyDescent="0.25">
      <c r="A116">
        <v>10</v>
      </c>
      <c r="B116" s="25">
        <v>17</v>
      </c>
      <c r="C116" s="30">
        <f t="shared" si="18"/>
        <v>3057.7167999999992</v>
      </c>
      <c r="D116" s="24">
        <f t="shared" si="12"/>
        <v>536.11199999999997</v>
      </c>
      <c r="E116" s="13">
        <f t="shared" si="13"/>
        <v>4845</v>
      </c>
      <c r="F116" s="12">
        <f t="shared" si="14"/>
        <v>308.44799999999998</v>
      </c>
      <c r="G116" s="12">
        <f t="shared" si="15"/>
        <v>2749.2687999999994</v>
      </c>
      <c r="H116" s="12">
        <f t="shared" si="16"/>
        <v>583.37487999999985</v>
      </c>
      <c r="I116" s="26">
        <f t="shared" si="17"/>
        <v>7.0233671012487537</v>
      </c>
    </row>
    <row r="117" spans="1:9" x14ac:dyDescent="0.25">
      <c r="A117">
        <v>11</v>
      </c>
      <c r="B117" s="25">
        <v>19.399999999999999</v>
      </c>
      <c r="C117" s="12">
        <f t="shared" si="18"/>
        <v>3593.8287999999993</v>
      </c>
      <c r="D117" s="24">
        <f t="shared" si="12"/>
        <v>611.79840000000002</v>
      </c>
      <c r="E117" s="13">
        <f t="shared" si="13"/>
        <v>5529</v>
      </c>
      <c r="F117" s="12">
        <f t="shared" si="14"/>
        <v>351.99360000000001</v>
      </c>
      <c r="G117" s="12">
        <f t="shared" si="15"/>
        <v>3241.8351999999995</v>
      </c>
      <c r="H117" s="12">
        <f t="shared" si="16"/>
        <v>676.17711999999983</v>
      </c>
      <c r="I117" s="26">
        <f t="shared" si="17"/>
        <v>6.9578050155405826</v>
      </c>
    </row>
    <row r="118" spans="1:9" x14ac:dyDescent="0.25">
      <c r="A118">
        <v>12</v>
      </c>
      <c r="B118" s="25">
        <v>23</v>
      </c>
      <c r="C118" s="12">
        <f t="shared" si="18"/>
        <v>4205.627199999999</v>
      </c>
      <c r="D118" s="24">
        <f t="shared" si="12"/>
        <v>725.32799999999997</v>
      </c>
      <c r="E118" s="13">
        <f t="shared" si="13"/>
        <v>6555</v>
      </c>
      <c r="F118" s="12">
        <f t="shared" si="14"/>
        <v>417.31200000000001</v>
      </c>
      <c r="G118" s="12">
        <f t="shared" si="15"/>
        <v>3788.3151999999991</v>
      </c>
      <c r="H118" s="12">
        <f t="shared" si="16"/>
        <v>796.14351999999985</v>
      </c>
      <c r="I118" s="26">
        <f t="shared" si="17"/>
        <v>7.0019222745567324</v>
      </c>
    </row>
    <row r="119" spans="1:9" x14ac:dyDescent="0.25">
      <c r="A119">
        <v>13</v>
      </c>
      <c r="B119" s="25">
        <v>27</v>
      </c>
      <c r="C119" s="12">
        <f t="shared" si="18"/>
        <v>4930.9551999999985</v>
      </c>
      <c r="D119" s="24">
        <f t="shared" si="12"/>
        <v>851.47199999999998</v>
      </c>
      <c r="E119" s="13">
        <f t="shared" si="13"/>
        <v>7695</v>
      </c>
      <c r="F119" s="12">
        <f t="shared" si="14"/>
        <v>489.88799999999998</v>
      </c>
      <c r="G119" s="12">
        <f t="shared" si="15"/>
        <v>4441.0671999999986</v>
      </c>
      <c r="H119" s="12">
        <f t="shared" si="16"/>
        <v>933.99471999999969</v>
      </c>
      <c r="I119" s="26">
        <f t="shared" si="17"/>
        <v>7.0207657073208232</v>
      </c>
    </row>
    <row r="120" spans="1:9" x14ac:dyDescent="0.25">
      <c r="A120">
        <v>14</v>
      </c>
      <c r="B120" s="25">
        <v>31</v>
      </c>
      <c r="C120" s="12">
        <f t="shared" si="18"/>
        <v>5782.4271999999983</v>
      </c>
      <c r="D120" s="24">
        <f t="shared" si="12"/>
        <v>977.61599999999999</v>
      </c>
      <c r="E120" s="13">
        <f t="shared" si="13"/>
        <v>8835</v>
      </c>
      <c r="F120" s="12">
        <f t="shared" si="14"/>
        <v>562.46399999999994</v>
      </c>
      <c r="G120" s="12">
        <f t="shared" si="15"/>
        <v>5219.9631999999983</v>
      </c>
      <c r="H120" s="12">
        <f t="shared" si="16"/>
        <v>1084.4603199999997</v>
      </c>
      <c r="I120" s="26">
        <f t="shared" si="17"/>
        <v>6.9673537831319159</v>
      </c>
    </row>
    <row r="121" spans="1:9" x14ac:dyDescent="0.25">
      <c r="A121">
        <v>15</v>
      </c>
      <c r="B121" s="25">
        <v>37</v>
      </c>
      <c r="C121" s="12">
        <f t="shared" si="18"/>
        <v>6760.0431999999983</v>
      </c>
      <c r="D121" s="24">
        <f t="shared" si="12"/>
        <v>1166.8320000000001</v>
      </c>
      <c r="E121" s="13">
        <f t="shared" si="13"/>
        <v>10545</v>
      </c>
      <c r="F121" s="12">
        <f t="shared" si="14"/>
        <v>671.32800000000009</v>
      </c>
      <c r="G121" s="12">
        <f t="shared" si="15"/>
        <v>6088.7151999999978</v>
      </c>
      <c r="H121" s="12">
        <f t="shared" si="16"/>
        <v>1280.1995199999997</v>
      </c>
      <c r="I121" s="26">
        <f t="shared" si="17"/>
        <v>7.0298489861354483</v>
      </c>
    </row>
    <row r="123" spans="1:9" x14ac:dyDescent="0.25">
      <c r="H123" s="1" t="s">
        <v>29</v>
      </c>
    </row>
    <row r="124" spans="1:9" x14ac:dyDescent="0.25">
      <c r="E124" s="1" t="s">
        <v>31</v>
      </c>
      <c r="F124" s="1" t="s">
        <v>27</v>
      </c>
      <c r="G124" s="1" t="s">
        <v>22</v>
      </c>
      <c r="H124" s="1" t="s">
        <v>30</v>
      </c>
    </row>
    <row r="125" spans="1:9" x14ac:dyDescent="0.25">
      <c r="A125" s="4" t="s">
        <v>7</v>
      </c>
      <c r="B125" s="5" t="s">
        <v>20</v>
      </c>
      <c r="C125" s="5" t="s">
        <v>26</v>
      </c>
      <c r="D125" s="5" t="s">
        <v>8</v>
      </c>
      <c r="E125" s="1" t="s">
        <v>32</v>
      </c>
      <c r="F125" s="1" t="s">
        <v>28</v>
      </c>
      <c r="G125" s="1" t="s">
        <v>28</v>
      </c>
      <c r="H125" s="1" t="s">
        <v>28</v>
      </c>
      <c r="I125" s="5" t="s">
        <v>9</v>
      </c>
    </row>
    <row r="126" spans="1:9" x14ac:dyDescent="0.25">
      <c r="A126">
        <v>0</v>
      </c>
      <c r="B126" s="31">
        <v>4.2</v>
      </c>
      <c r="C126" s="28">
        <v>530</v>
      </c>
      <c r="D126" s="24">
        <f t="shared" ref="D126:D141" si="19">B126*secondsPerYear/1000/1000</f>
        <v>132.4512</v>
      </c>
      <c r="E126" s="13">
        <f t="shared" ref="E126:E141" si="20">B126*secondsPerBlock*avgTrSize/1000</f>
        <v>1197</v>
      </c>
      <c r="F126" s="12">
        <f t="shared" ref="F126:F141" si="21">assumevalidBlockTime*D126/365</f>
        <v>76.204800000000006</v>
      </c>
      <c r="G126" s="12">
        <f t="shared" ref="G126:G141" si="22">C126-F126</f>
        <v>453.79520000000002</v>
      </c>
      <c r="H126" s="12">
        <f t="shared" ref="H126:H141" si="23">F126+G126*(1-assumevalidSpeedup)</f>
        <v>121.58431999999999</v>
      </c>
      <c r="I126" s="26">
        <f t="shared" ref="I126:I141" si="24">(H126*1000*1000/(throughput3*POWER(1+cpuGrowth,A126)))/(secondsPerYear/365)</f>
        <v>7.0361296296296292</v>
      </c>
    </row>
    <row r="127" spans="1:9" x14ac:dyDescent="0.25">
      <c r="A127">
        <v>1</v>
      </c>
      <c r="B127" s="25">
        <v>4.5999999999999996</v>
      </c>
      <c r="C127" s="12">
        <f>C126+D126</f>
        <v>662.45119999999997</v>
      </c>
      <c r="D127" s="24">
        <f t="shared" si="19"/>
        <v>145.06560000000002</v>
      </c>
      <c r="E127" s="13">
        <f t="shared" si="20"/>
        <v>1311</v>
      </c>
      <c r="F127" s="12">
        <f t="shared" si="21"/>
        <v>83.462400000000017</v>
      </c>
      <c r="G127" s="12">
        <f t="shared" si="22"/>
        <v>578.98879999999997</v>
      </c>
      <c r="H127" s="12">
        <f t="shared" si="23"/>
        <v>141.36127999999999</v>
      </c>
      <c r="I127" s="26">
        <f t="shared" si="24"/>
        <v>6.9919911364355816</v>
      </c>
    </row>
    <row r="128" spans="1:9" x14ac:dyDescent="0.25">
      <c r="A128">
        <v>2</v>
      </c>
      <c r="B128" s="25">
        <v>5.2</v>
      </c>
      <c r="C128" s="12">
        <f t="shared" ref="C128:C141" si="25">C127+D127</f>
        <v>807.51679999999999</v>
      </c>
      <c r="D128" s="24">
        <f t="shared" si="19"/>
        <v>163.9872</v>
      </c>
      <c r="E128" s="13">
        <f t="shared" si="20"/>
        <v>1482</v>
      </c>
      <c r="F128" s="12">
        <f t="shared" si="21"/>
        <v>94.348799999999997</v>
      </c>
      <c r="G128" s="12">
        <f t="shared" si="22"/>
        <v>713.16800000000001</v>
      </c>
      <c r="H128" s="12">
        <f t="shared" si="23"/>
        <v>165.66559999999998</v>
      </c>
      <c r="I128" s="26">
        <f t="shared" si="24"/>
        <v>7.0035281098908824</v>
      </c>
    </row>
    <row r="129" spans="1:9" x14ac:dyDescent="0.25">
      <c r="A129">
        <v>3</v>
      </c>
      <c r="B129" s="25">
        <v>5.9</v>
      </c>
      <c r="C129" s="12">
        <f t="shared" si="25"/>
        <v>971.50400000000002</v>
      </c>
      <c r="D129" s="24">
        <f t="shared" si="19"/>
        <v>186.0624</v>
      </c>
      <c r="E129" s="13">
        <f t="shared" si="20"/>
        <v>1681.5</v>
      </c>
      <c r="F129" s="12">
        <f t="shared" si="21"/>
        <v>107.0496</v>
      </c>
      <c r="G129" s="12">
        <f t="shared" si="22"/>
        <v>864.45440000000008</v>
      </c>
      <c r="H129" s="12">
        <f t="shared" si="23"/>
        <v>193.49503999999999</v>
      </c>
      <c r="I129" s="26">
        <f t="shared" si="24"/>
        <v>6.9914702425802169</v>
      </c>
    </row>
    <row r="130" spans="1:9" x14ac:dyDescent="0.25">
      <c r="A130">
        <v>4</v>
      </c>
      <c r="B130" s="25">
        <v>6.7</v>
      </c>
      <c r="C130" s="12">
        <f t="shared" si="25"/>
        <v>1157.5663999999999</v>
      </c>
      <c r="D130" s="24">
        <f t="shared" si="19"/>
        <v>211.2912</v>
      </c>
      <c r="E130" s="13">
        <f t="shared" si="20"/>
        <v>1909.5</v>
      </c>
      <c r="F130" s="12">
        <f t="shared" si="21"/>
        <v>121.56480000000001</v>
      </c>
      <c r="G130" s="12">
        <f t="shared" si="22"/>
        <v>1036.0015999999998</v>
      </c>
      <c r="H130" s="12">
        <f t="shared" si="23"/>
        <v>225.16495999999995</v>
      </c>
      <c r="I130" s="26">
        <f t="shared" si="24"/>
        <v>6.9536627178482266</v>
      </c>
    </row>
    <row r="131" spans="1:9" x14ac:dyDescent="0.25">
      <c r="A131">
        <v>5</v>
      </c>
      <c r="B131" s="25">
        <v>7.8</v>
      </c>
      <c r="C131" s="12">
        <f t="shared" si="25"/>
        <v>1368.8575999999998</v>
      </c>
      <c r="D131" s="24">
        <f t="shared" si="19"/>
        <v>245.98079999999999</v>
      </c>
      <c r="E131" s="13">
        <f t="shared" si="20"/>
        <v>2223</v>
      </c>
      <c r="F131" s="12">
        <f t="shared" si="21"/>
        <v>141.5232</v>
      </c>
      <c r="G131" s="12">
        <f t="shared" si="22"/>
        <v>1227.3343999999997</v>
      </c>
      <c r="H131" s="12">
        <f t="shared" si="23"/>
        <v>264.25663999999995</v>
      </c>
      <c r="I131" s="26">
        <f t="shared" si="24"/>
        <v>6.9751389226185418</v>
      </c>
    </row>
    <row r="132" spans="1:9" x14ac:dyDescent="0.25">
      <c r="A132">
        <v>6</v>
      </c>
      <c r="B132" s="25">
        <v>9</v>
      </c>
      <c r="C132" s="12">
        <f t="shared" si="25"/>
        <v>1614.8383999999999</v>
      </c>
      <c r="D132" s="24">
        <f t="shared" si="19"/>
        <v>283.82400000000001</v>
      </c>
      <c r="E132" s="13">
        <f t="shared" si="20"/>
        <v>2565</v>
      </c>
      <c r="F132" s="12">
        <f t="shared" si="21"/>
        <v>163.29599999999999</v>
      </c>
      <c r="G132" s="12">
        <f t="shared" si="22"/>
        <v>1451.5423999999998</v>
      </c>
      <c r="H132" s="12">
        <f t="shared" si="23"/>
        <v>308.45023999999995</v>
      </c>
      <c r="I132" s="26">
        <f t="shared" si="24"/>
        <v>6.9586693971948259</v>
      </c>
    </row>
    <row r="133" spans="1:9" x14ac:dyDescent="0.25">
      <c r="A133">
        <v>7</v>
      </c>
      <c r="B133" s="25">
        <v>10.5</v>
      </c>
      <c r="C133" s="12">
        <f t="shared" si="25"/>
        <v>1898.6623999999999</v>
      </c>
      <c r="D133" s="24">
        <f t="shared" si="19"/>
        <v>331.12799999999999</v>
      </c>
      <c r="E133" s="13">
        <f t="shared" si="20"/>
        <v>2992.5</v>
      </c>
      <c r="F133" s="12">
        <f t="shared" si="21"/>
        <v>190.51199999999997</v>
      </c>
      <c r="G133" s="12">
        <f t="shared" si="22"/>
        <v>1708.1504</v>
      </c>
      <c r="H133" s="12">
        <f t="shared" si="23"/>
        <v>361.3270399999999</v>
      </c>
      <c r="I133" s="26">
        <f t="shared" si="24"/>
        <v>6.9671585366836224</v>
      </c>
    </row>
    <row r="134" spans="1:9" x14ac:dyDescent="0.25">
      <c r="A134">
        <v>8</v>
      </c>
      <c r="B134" s="25">
        <v>12.2</v>
      </c>
      <c r="C134" s="12">
        <f t="shared" si="25"/>
        <v>2229.7903999999999</v>
      </c>
      <c r="D134" s="24">
        <f t="shared" si="19"/>
        <v>384.73920000000004</v>
      </c>
      <c r="E134" s="13">
        <f t="shared" si="20"/>
        <v>3477</v>
      </c>
      <c r="F134" s="12">
        <f t="shared" si="21"/>
        <v>221.35680000000002</v>
      </c>
      <c r="G134" s="12">
        <f t="shared" si="22"/>
        <v>2008.4335999999998</v>
      </c>
      <c r="H134" s="12">
        <f t="shared" si="23"/>
        <v>422.20015999999998</v>
      </c>
      <c r="I134" s="26">
        <f t="shared" si="24"/>
        <v>6.9580534640752632</v>
      </c>
    </row>
    <row r="135" spans="1:9" x14ac:dyDescent="0.25">
      <c r="A135">
        <v>9</v>
      </c>
      <c r="B135" s="25">
        <v>14.3</v>
      </c>
      <c r="C135" s="12">
        <f t="shared" si="25"/>
        <v>2614.5295999999998</v>
      </c>
      <c r="D135" s="24">
        <f t="shared" si="19"/>
        <v>450.96479999999997</v>
      </c>
      <c r="E135" s="13">
        <f t="shared" si="20"/>
        <v>4075.5</v>
      </c>
      <c r="F135" s="12">
        <f t="shared" si="21"/>
        <v>259.45919999999995</v>
      </c>
      <c r="G135" s="12">
        <f t="shared" si="22"/>
        <v>2355.0704000000001</v>
      </c>
      <c r="H135" s="12">
        <f t="shared" si="23"/>
        <v>494.96623999999991</v>
      </c>
      <c r="I135" s="26">
        <f t="shared" si="24"/>
        <v>6.9720273853862391</v>
      </c>
    </row>
    <row r="136" spans="1:9" x14ac:dyDescent="0.25">
      <c r="A136">
        <v>10</v>
      </c>
      <c r="B136" s="25">
        <v>16.600000000000001</v>
      </c>
      <c r="C136" s="30">
        <f t="shared" si="25"/>
        <v>3065.4943999999996</v>
      </c>
      <c r="D136" s="24">
        <f t="shared" si="19"/>
        <v>523.49760000000003</v>
      </c>
      <c r="E136" s="13">
        <f t="shared" si="20"/>
        <v>4731</v>
      </c>
      <c r="F136" s="12">
        <f t="shared" si="21"/>
        <v>301.19040000000001</v>
      </c>
      <c r="G136" s="12">
        <f t="shared" si="22"/>
        <v>2764.3039999999996</v>
      </c>
      <c r="H136" s="12">
        <f t="shared" si="23"/>
        <v>577.62079999999992</v>
      </c>
      <c r="I136" s="26">
        <f t="shared" si="24"/>
        <v>6.9540925788868142</v>
      </c>
    </row>
    <row r="137" spans="1:9" x14ac:dyDescent="0.25">
      <c r="A137">
        <v>11</v>
      </c>
      <c r="B137" s="25">
        <v>19.399999999999999</v>
      </c>
      <c r="C137" s="12">
        <f t="shared" si="25"/>
        <v>3588.9919999999997</v>
      </c>
      <c r="D137" s="24">
        <f t="shared" si="19"/>
        <v>611.79840000000002</v>
      </c>
      <c r="E137" s="13">
        <f t="shared" si="20"/>
        <v>5529</v>
      </c>
      <c r="F137" s="12">
        <f t="shared" si="21"/>
        <v>351.99360000000001</v>
      </c>
      <c r="G137" s="12">
        <f t="shared" si="22"/>
        <v>3236.9983999999995</v>
      </c>
      <c r="H137" s="12">
        <f t="shared" si="23"/>
        <v>675.6934399999999</v>
      </c>
      <c r="I137" s="26">
        <f t="shared" si="24"/>
        <v>6.9528279895064635</v>
      </c>
    </row>
    <row r="138" spans="1:9" x14ac:dyDescent="0.25">
      <c r="A138">
        <v>12</v>
      </c>
      <c r="B138" s="25">
        <v>23</v>
      </c>
      <c r="C138" s="12">
        <f t="shared" si="25"/>
        <v>4200.7903999999999</v>
      </c>
      <c r="D138" s="24">
        <f t="shared" si="19"/>
        <v>725.32799999999997</v>
      </c>
      <c r="E138" s="13">
        <f t="shared" si="20"/>
        <v>6555</v>
      </c>
      <c r="F138" s="12">
        <f t="shared" si="21"/>
        <v>417.31200000000001</v>
      </c>
      <c r="G138" s="12">
        <f t="shared" si="22"/>
        <v>3783.4784</v>
      </c>
      <c r="H138" s="12">
        <f t="shared" si="23"/>
        <v>795.65983999999992</v>
      </c>
      <c r="I138" s="26">
        <f t="shared" si="24"/>
        <v>6.9976684061515027</v>
      </c>
    </row>
    <row r="139" spans="1:9" x14ac:dyDescent="0.25">
      <c r="A139">
        <v>13</v>
      </c>
      <c r="B139" s="25">
        <v>27</v>
      </c>
      <c r="C139" s="12">
        <f t="shared" si="25"/>
        <v>4926.1183999999994</v>
      </c>
      <c r="D139" s="24">
        <f t="shared" si="19"/>
        <v>851.47199999999998</v>
      </c>
      <c r="E139" s="13">
        <f t="shared" si="20"/>
        <v>7695</v>
      </c>
      <c r="F139" s="12">
        <f t="shared" si="21"/>
        <v>489.88799999999998</v>
      </c>
      <c r="G139" s="12">
        <f t="shared" si="22"/>
        <v>4436.2303999999995</v>
      </c>
      <c r="H139" s="12">
        <f t="shared" si="23"/>
        <v>933.51103999999987</v>
      </c>
      <c r="I139" s="26">
        <f t="shared" si="24"/>
        <v>7.0171299223590875</v>
      </c>
    </row>
    <row r="140" spans="1:9" x14ac:dyDescent="0.25">
      <c r="A140">
        <v>14</v>
      </c>
      <c r="B140" s="25">
        <v>31</v>
      </c>
      <c r="C140" s="12">
        <f t="shared" si="25"/>
        <v>5777.5903999999991</v>
      </c>
      <c r="D140" s="24">
        <f t="shared" si="19"/>
        <v>977.61599999999999</v>
      </c>
      <c r="E140" s="13">
        <f t="shared" si="20"/>
        <v>8835</v>
      </c>
      <c r="F140" s="12">
        <f t="shared" si="21"/>
        <v>562.46399999999994</v>
      </c>
      <c r="G140" s="12">
        <f t="shared" si="22"/>
        <v>5215.1263999999992</v>
      </c>
      <c r="H140" s="12">
        <f t="shared" si="23"/>
        <v>1083.9766399999999</v>
      </c>
      <c r="I140" s="26">
        <f t="shared" si="24"/>
        <v>6.9642462746176159</v>
      </c>
    </row>
    <row r="141" spans="1:9" x14ac:dyDescent="0.25">
      <c r="A141">
        <v>15</v>
      </c>
      <c r="B141" s="25">
        <v>37</v>
      </c>
      <c r="C141" s="12">
        <f t="shared" si="25"/>
        <v>6755.2063999999991</v>
      </c>
      <c r="D141" s="24">
        <f t="shared" si="19"/>
        <v>1166.8320000000001</v>
      </c>
      <c r="E141" s="13">
        <f t="shared" si="20"/>
        <v>10545</v>
      </c>
      <c r="F141" s="12">
        <f t="shared" si="21"/>
        <v>671.32800000000009</v>
      </c>
      <c r="G141" s="12">
        <f t="shared" si="22"/>
        <v>6083.8783999999987</v>
      </c>
      <c r="H141" s="12">
        <f t="shared" si="23"/>
        <v>1279.7158399999998</v>
      </c>
      <c r="I141" s="26">
        <f t="shared" si="24"/>
        <v>7.0271929959522845</v>
      </c>
    </row>
    <row r="162" spans="1:11" x14ac:dyDescent="0.25">
      <c r="A162" s="5" t="s">
        <v>99</v>
      </c>
    </row>
    <row r="163" spans="1:11" x14ac:dyDescent="0.25">
      <c r="A163" s="11"/>
      <c r="B163" s="97"/>
      <c r="C163" s="97"/>
      <c r="D163" s="97"/>
      <c r="E163" s="97"/>
      <c r="F163" s="97"/>
      <c r="G163" s="106" t="s">
        <v>76</v>
      </c>
      <c r="H163" s="106" t="s">
        <v>75</v>
      </c>
      <c r="I163" s="97"/>
      <c r="J163" s="97"/>
      <c r="K163" s="97"/>
    </row>
    <row r="164" spans="1:11" x14ac:dyDescent="0.25">
      <c r="A164" s="99" t="s">
        <v>6</v>
      </c>
      <c r="B164" s="97"/>
      <c r="C164" s="106" t="s">
        <v>2</v>
      </c>
      <c r="D164" s="106" t="s">
        <v>3</v>
      </c>
      <c r="E164" s="97"/>
      <c r="F164" s="97"/>
      <c r="G164" s="106" t="s">
        <v>57</v>
      </c>
      <c r="H164" s="106" t="s">
        <v>57</v>
      </c>
      <c r="I164" s="97"/>
      <c r="J164" s="97"/>
      <c r="K164" s="97"/>
    </row>
    <row r="165" spans="1:11" x14ac:dyDescent="0.25">
      <c r="A165" s="99" t="s">
        <v>80</v>
      </c>
      <c r="B165" s="130">
        <f>$B$5</f>
        <v>1</v>
      </c>
      <c r="C165" s="131">
        <f>$C$5</f>
        <v>128</v>
      </c>
      <c r="D165" s="131">
        <f>$D$5</f>
        <v>2</v>
      </c>
      <c r="E165" s="132">
        <f>$E$5</f>
        <v>200</v>
      </c>
      <c r="F165" s="145">
        <f>$F$5</f>
        <v>250</v>
      </c>
      <c r="G165" s="83">
        <f>$G$5</f>
        <v>8</v>
      </c>
      <c r="H165" s="83">
        <f>$H$5</f>
        <v>0</v>
      </c>
      <c r="I165" s="133">
        <f>$I$5</f>
        <v>7</v>
      </c>
      <c r="J165" s="134">
        <f>$J$5</f>
        <v>0.75</v>
      </c>
      <c r="K165" s="134">
        <f>$K$5</f>
        <v>0.1</v>
      </c>
    </row>
    <row r="167" spans="1:11" x14ac:dyDescent="0.25">
      <c r="E167" s="1" t="s">
        <v>31</v>
      </c>
    </row>
    <row r="168" spans="1:11" x14ac:dyDescent="0.25">
      <c r="A168" s="4" t="s">
        <v>7</v>
      </c>
      <c r="B168" s="1" t="s">
        <v>63</v>
      </c>
      <c r="C168" s="1" t="s">
        <v>64</v>
      </c>
      <c r="D168" s="1" t="s">
        <v>58</v>
      </c>
      <c r="E168" s="1" t="s">
        <v>32</v>
      </c>
    </row>
    <row r="169" spans="1:11" x14ac:dyDescent="0.25">
      <c r="A169">
        <v>0</v>
      </c>
      <c r="B169">
        <f t="shared" ref="B169:B184" si="26">invSize*(outgoingConnections+publicConnections8)</f>
        <v>288</v>
      </c>
      <c r="C169">
        <f t="shared" ref="C169:C184" si="27">2*avgTrSize</f>
        <v>950</v>
      </c>
      <c r="D169" s="3">
        <f t="shared" ref="D169:D184" si="28">(bandwidth8*mbToGB*KBperGB*1000)*ongoingResourcePercentage8*POWER(1+bandwidthGrowth,A169)/(B169+C169)</f>
        <v>10.096930533117932</v>
      </c>
      <c r="E169" s="46">
        <f>D169*avgTrSize*secondsPerBlock/1000/1000</f>
        <v>2.8776252019386108</v>
      </c>
    </row>
    <row r="170" spans="1:11" x14ac:dyDescent="0.25">
      <c r="A170">
        <v>1</v>
      </c>
      <c r="B170">
        <f t="shared" si="26"/>
        <v>288</v>
      </c>
      <c r="C170">
        <f t="shared" si="27"/>
        <v>950</v>
      </c>
      <c r="D170" s="100">
        <f t="shared" si="28"/>
        <v>12.621163166397416</v>
      </c>
      <c r="E170" s="46">
        <f t="shared" ref="E170:E184" si="29">D170*avgTrSize*secondsPerBlock/1000/1000</f>
        <v>3.5970315024232637</v>
      </c>
    </row>
    <row r="171" spans="1:11" x14ac:dyDescent="0.25">
      <c r="A171">
        <v>2</v>
      </c>
      <c r="B171">
        <f t="shared" si="26"/>
        <v>288</v>
      </c>
      <c r="C171">
        <f t="shared" si="27"/>
        <v>950</v>
      </c>
      <c r="D171" s="100">
        <f t="shared" si="28"/>
        <v>15.776453957996768</v>
      </c>
      <c r="E171" s="46">
        <f t="shared" si="29"/>
        <v>4.4962893780290791</v>
      </c>
    </row>
    <row r="172" spans="1:11" x14ac:dyDescent="0.25">
      <c r="A172">
        <v>3</v>
      </c>
      <c r="B172">
        <f t="shared" si="26"/>
        <v>288</v>
      </c>
      <c r="C172">
        <f t="shared" si="27"/>
        <v>950</v>
      </c>
      <c r="D172" s="100">
        <f t="shared" si="28"/>
        <v>19.720567447495963</v>
      </c>
      <c r="E172" s="46">
        <f t="shared" si="29"/>
        <v>5.6203617225363489</v>
      </c>
    </row>
    <row r="173" spans="1:11" x14ac:dyDescent="0.25">
      <c r="A173">
        <v>4</v>
      </c>
      <c r="B173">
        <f t="shared" si="26"/>
        <v>288</v>
      </c>
      <c r="C173">
        <f t="shared" si="27"/>
        <v>950</v>
      </c>
      <c r="D173" s="100">
        <f t="shared" si="28"/>
        <v>24.650709309369951</v>
      </c>
      <c r="E173" s="46">
        <f t="shared" si="29"/>
        <v>7.0254521531704359</v>
      </c>
    </row>
    <row r="174" spans="1:11" x14ac:dyDescent="0.25">
      <c r="A174">
        <v>5</v>
      </c>
      <c r="B174">
        <f t="shared" si="26"/>
        <v>288</v>
      </c>
      <c r="C174">
        <f t="shared" si="27"/>
        <v>950</v>
      </c>
      <c r="D174" s="100">
        <f t="shared" si="28"/>
        <v>30.81338663671244</v>
      </c>
      <c r="E174" s="46">
        <f t="shared" si="29"/>
        <v>8.7818151914630445</v>
      </c>
    </row>
    <row r="175" spans="1:11" x14ac:dyDescent="0.25">
      <c r="A175">
        <v>6</v>
      </c>
      <c r="B175">
        <f t="shared" si="26"/>
        <v>288</v>
      </c>
      <c r="C175">
        <f t="shared" si="27"/>
        <v>950</v>
      </c>
      <c r="D175" s="100">
        <f t="shared" si="28"/>
        <v>38.516733295890546</v>
      </c>
      <c r="E175" s="46">
        <f t="shared" si="29"/>
        <v>10.977268989328806</v>
      </c>
    </row>
    <row r="176" spans="1:11" x14ac:dyDescent="0.25">
      <c r="A176">
        <v>7</v>
      </c>
      <c r="B176">
        <f t="shared" si="26"/>
        <v>288</v>
      </c>
      <c r="C176">
        <f t="shared" si="27"/>
        <v>950</v>
      </c>
      <c r="D176" s="100">
        <f t="shared" si="28"/>
        <v>48.145916619863186</v>
      </c>
      <c r="E176" s="46">
        <f t="shared" si="29"/>
        <v>13.721586236661009</v>
      </c>
    </row>
    <row r="177" spans="1:11" x14ac:dyDescent="0.25">
      <c r="A177">
        <v>8</v>
      </c>
      <c r="B177">
        <f t="shared" si="26"/>
        <v>288</v>
      </c>
      <c r="C177">
        <f t="shared" si="27"/>
        <v>950</v>
      </c>
      <c r="D177" s="100">
        <f t="shared" si="28"/>
        <v>60.182395774828983</v>
      </c>
      <c r="E177" s="46">
        <f t="shared" si="29"/>
        <v>17.15198279582626</v>
      </c>
    </row>
    <row r="178" spans="1:11" x14ac:dyDescent="0.25">
      <c r="A178">
        <v>9</v>
      </c>
      <c r="B178">
        <f t="shared" si="26"/>
        <v>288</v>
      </c>
      <c r="C178">
        <f t="shared" si="27"/>
        <v>950</v>
      </c>
      <c r="D178" s="100">
        <f t="shared" si="28"/>
        <v>75.227994718536223</v>
      </c>
      <c r="E178" s="46">
        <f t="shared" si="29"/>
        <v>21.439978494782824</v>
      </c>
    </row>
    <row r="179" spans="1:11" x14ac:dyDescent="0.25">
      <c r="A179">
        <v>10</v>
      </c>
      <c r="B179">
        <f t="shared" si="26"/>
        <v>288</v>
      </c>
      <c r="C179">
        <f t="shared" si="27"/>
        <v>950</v>
      </c>
      <c r="D179" s="100">
        <f t="shared" si="28"/>
        <v>94.034993398170286</v>
      </c>
      <c r="E179" s="46">
        <f t="shared" si="29"/>
        <v>26.799973118478533</v>
      </c>
    </row>
    <row r="180" spans="1:11" x14ac:dyDescent="0.25">
      <c r="A180">
        <v>11</v>
      </c>
      <c r="B180">
        <f t="shared" si="26"/>
        <v>288</v>
      </c>
      <c r="C180">
        <f t="shared" si="27"/>
        <v>950</v>
      </c>
      <c r="D180" s="100">
        <f t="shared" si="28"/>
        <v>117.54374174771286</v>
      </c>
      <c r="E180" s="46">
        <f t="shared" si="29"/>
        <v>33.499966398098167</v>
      </c>
    </row>
    <row r="181" spans="1:11" x14ac:dyDescent="0.25">
      <c r="A181">
        <v>12</v>
      </c>
      <c r="B181">
        <f t="shared" si="26"/>
        <v>288</v>
      </c>
      <c r="C181">
        <f t="shared" si="27"/>
        <v>950</v>
      </c>
      <c r="D181" s="100">
        <f t="shared" si="28"/>
        <v>146.92967718464106</v>
      </c>
      <c r="E181" s="46">
        <f t="shared" si="29"/>
        <v>41.874957997622701</v>
      </c>
    </row>
    <row r="182" spans="1:11" x14ac:dyDescent="0.25">
      <c r="A182">
        <v>13</v>
      </c>
      <c r="B182">
        <f t="shared" si="26"/>
        <v>288</v>
      </c>
      <c r="C182">
        <f t="shared" si="27"/>
        <v>950</v>
      </c>
      <c r="D182" s="100">
        <f t="shared" si="28"/>
        <v>183.66209648080135</v>
      </c>
      <c r="E182" s="46">
        <f t="shared" si="29"/>
        <v>52.343697497028387</v>
      </c>
    </row>
    <row r="183" spans="1:11" x14ac:dyDescent="0.25">
      <c r="A183">
        <v>14</v>
      </c>
      <c r="B183">
        <f t="shared" si="26"/>
        <v>288</v>
      </c>
      <c r="C183">
        <f t="shared" si="27"/>
        <v>950</v>
      </c>
      <c r="D183" s="100">
        <f t="shared" si="28"/>
        <v>229.57762060100168</v>
      </c>
      <c r="E183" s="46">
        <f t="shared" si="29"/>
        <v>65.429621871285477</v>
      </c>
    </row>
    <row r="184" spans="1:11" x14ac:dyDescent="0.25">
      <c r="A184">
        <v>15</v>
      </c>
      <c r="B184">
        <f t="shared" si="26"/>
        <v>288</v>
      </c>
      <c r="C184">
        <f t="shared" si="27"/>
        <v>950</v>
      </c>
      <c r="D184" s="100">
        <f t="shared" si="28"/>
        <v>286.97202575125209</v>
      </c>
      <c r="E184" s="46">
        <f t="shared" si="29"/>
        <v>81.787027339106857</v>
      </c>
    </row>
    <row r="185" spans="1:11" s="97" customFormat="1" x14ac:dyDescent="0.25">
      <c r="B185"/>
      <c r="C185"/>
      <c r="D185"/>
      <c r="E185"/>
      <c r="F185"/>
      <c r="G185"/>
      <c r="H185"/>
      <c r="I185"/>
      <c r="J185"/>
      <c r="K185"/>
    </row>
    <row r="186" spans="1:11" s="97" customFormat="1" x14ac:dyDescent="0.25">
      <c r="A186" s="102" t="s">
        <v>100</v>
      </c>
    </row>
    <row r="187" spans="1:11" s="97" customFormat="1" x14ac:dyDescent="0.25">
      <c r="A187" s="102"/>
      <c r="G187" s="106" t="s">
        <v>76</v>
      </c>
      <c r="H187" s="106" t="s">
        <v>75</v>
      </c>
    </row>
    <row r="188" spans="1:11" s="97" customFormat="1" x14ac:dyDescent="0.25">
      <c r="A188" s="99" t="s">
        <v>6</v>
      </c>
      <c r="C188" s="106" t="s">
        <v>2</v>
      </c>
      <c r="D188" s="106" t="s">
        <v>3</v>
      </c>
      <c r="G188" s="106" t="s">
        <v>57</v>
      </c>
      <c r="H188" s="106" t="s">
        <v>57</v>
      </c>
    </row>
    <row r="189" spans="1:11" s="97" customFormat="1" x14ac:dyDescent="0.25">
      <c r="A189" s="99" t="s">
        <v>81</v>
      </c>
      <c r="B189" s="130">
        <f>$B$4</f>
        <v>50</v>
      </c>
      <c r="C189" s="131">
        <f>$C$4</f>
        <v>2000</v>
      </c>
      <c r="D189" s="131">
        <f>$D$4</f>
        <v>8</v>
      </c>
      <c r="E189" s="132">
        <f>$E$4</f>
        <v>5000</v>
      </c>
      <c r="F189" s="145">
        <f>$F$4</f>
        <v>130</v>
      </c>
      <c r="G189" s="83">
        <f>$G$4</f>
        <v>8</v>
      </c>
      <c r="H189" s="83">
        <f>$H$4</f>
        <v>80</v>
      </c>
      <c r="I189" s="133">
        <f>$I$4</f>
        <v>7</v>
      </c>
      <c r="J189" s="134">
        <f>$J$4</f>
        <v>0.5</v>
      </c>
      <c r="K189" s="134">
        <f>$K$4</f>
        <v>0.1</v>
      </c>
    </row>
    <row r="190" spans="1:11" s="97" customFormat="1" x14ac:dyDescent="0.25"/>
    <row r="191" spans="1:11" s="97" customFormat="1" x14ac:dyDescent="0.25">
      <c r="E191" s="98" t="s">
        <v>31</v>
      </c>
    </row>
    <row r="192" spans="1:11" s="97" customFormat="1" x14ac:dyDescent="0.25">
      <c r="A192" s="101" t="s">
        <v>7</v>
      </c>
      <c r="B192" s="98" t="s">
        <v>63</v>
      </c>
      <c r="C192" s="98" t="s">
        <v>64</v>
      </c>
      <c r="D192" s="98" t="s">
        <v>58</v>
      </c>
      <c r="E192" s="98" t="s">
        <v>32</v>
      </c>
    </row>
    <row r="193" spans="1:5" s="97" customFormat="1" x14ac:dyDescent="0.25">
      <c r="A193" s="97">
        <v>0</v>
      </c>
      <c r="B193" s="97">
        <f t="shared" ref="B193:B208" si="30">invSize*(outgoingConnections9+publicConnections9)</f>
        <v>3168</v>
      </c>
      <c r="C193" s="97">
        <f t="shared" ref="C193:C208" si="31">2*avgTrSize</f>
        <v>950</v>
      </c>
      <c r="D193" s="100">
        <f t="shared" ref="D193:D208" si="32">(bandwidth8p9*mbToGB*KBperGB*1000)*ongoingResourcePercentage8p9*POWER(1+bandwidthGrowth,A193)/(B193+C193)</f>
        <v>151.77270519669742</v>
      </c>
      <c r="E193" s="108">
        <f t="shared" ref="E193:E208" si="33">D193*avgTrSize*secondsPerBlock/1000/1000</f>
        <v>43.255220981058763</v>
      </c>
    </row>
    <row r="194" spans="1:5" s="97" customFormat="1" x14ac:dyDescent="0.25">
      <c r="A194" s="97">
        <v>1</v>
      </c>
      <c r="B194" s="97">
        <f t="shared" si="30"/>
        <v>3168</v>
      </c>
      <c r="C194" s="97">
        <f t="shared" si="31"/>
        <v>950</v>
      </c>
      <c r="D194" s="100">
        <f t="shared" si="32"/>
        <v>189.71588149587177</v>
      </c>
      <c r="E194" s="108">
        <f t="shared" si="33"/>
        <v>54.069026226323452</v>
      </c>
    </row>
    <row r="195" spans="1:5" s="97" customFormat="1" x14ac:dyDescent="0.25">
      <c r="A195" s="97">
        <v>2</v>
      </c>
      <c r="B195" s="97">
        <f t="shared" si="30"/>
        <v>3168</v>
      </c>
      <c r="C195" s="97">
        <f t="shared" si="31"/>
        <v>950</v>
      </c>
      <c r="D195" s="100">
        <f t="shared" si="32"/>
        <v>237.14485186983973</v>
      </c>
      <c r="E195" s="108">
        <f t="shared" si="33"/>
        <v>67.58628278290432</v>
      </c>
    </row>
    <row r="196" spans="1:5" s="97" customFormat="1" x14ac:dyDescent="0.25">
      <c r="A196" s="97">
        <v>3</v>
      </c>
      <c r="B196" s="97">
        <f t="shared" si="30"/>
        <v>3168</v>
      </c>
      <c r="C196" s="97">
        <f t="shared" si="31"/>
        <v>950</v>
      </c>
      <c r="D196" s="100">
        <f t="shared" si="32"/>
        <v>296.43106483729969</v>
      </c>
      <c r="E196" s="108">
        <f t="shared" si="33"/>
        <v>84.482853478630403</v>
      </c>
    </row>
    <row r="197" spans="1:5" s="97" customFormat="1" x14ac:dyDescent="0.25">
      <c r="A197" s="97">
        <v>4</v>
      </c>
      <c r="B197" s="97">
        <f t="shared" si="30"/>
        <v>3168</v>
      </c>
      <c r="C197" s="97">
        <f t="shared" si="31"/>
        <v>950</v>
      </c>
      <c r="D197" s="100">
        <f t="shared" si="32"/>
        <v>370.53883104662458</v>
      </c>
      <c r="E197" s="108">
        <f t="shared" si="33"/>
        <v>105.60356684828801</v>
      </c>
    </row>
    <row r="198" spans="1:5" s="97" customFormat="1" x14ac:dyDescent="0.25">
      <c r="A198" s="97">
        <v>5</v>
      </c>
      <c r="B198" s="97">
        <f t="shared" si="30"/>
        <v>3168</v>
      </c>
      <c r="C198" s="97">
        <f t="shared" si="31"/>
        <v>950</v>
      </c>
      <c r="D198" s="100">
        <f t="shared" si="32"/>
        <v>463.17353880828074</v>
      </c>
      <c r="E198" s="108">
        <f t="shared" si="33"/>
        <v>132.00445856036001</v>
      </c>
    </row>
    <row r="199" spans="1:5" s="97" customFormat="1" x14ac:dyDescent="0.25">
      <c r="A199" s="97">
        <v>6</v>
      </c>
      <c r="B199" s="97">
        <f t="shared" si="30"/>
        <v>3168</v>
      </c>
      <c r="C199" s="97">
        <f t="shared" si="31"/>
        <v>950</v>
      </c>
      <c r="D199" s="100">
        <f t="shared" si="32"/>
        <v>578.96692351035085</v>
      </c>
      <c r="E199" s="108">
        <f t="shared" si="33"/>
        <v>165.00557320045002</v>
      </c>
    </row>
    <row r="200" spans="1:5" s="97" customFormat="1" x14ac:dyDescent="0.25">
      <c r="A200" s="97">
        <v>7</v>
      </c>
      <c r="B200" s="97">
        <f t="shared" si="30"/>
        <v>3168</v>
      </c>
      <c r="C200" s="97">
        <f t="shared" si="31"/>
        <v>950</v>
      </c>
      <c r="D200" s="100">
        <f t="shared" si="32"/>
        <v>723.70865438793862</v>
      </c>
      <c r="E200" s="108">
        <f t="shared" si="33"/>
        <v>206.2569665005625</v>
      </c>
    </row>
    <row r="201" spans="1:5" s="97" customFormat="1" x14ac:dyDescent="0.25">
      <c r="A201" s="97">
        <v>8</v>
      </c>
      <c r="B201" s="97">
        <f t="shared" si="30"/>
        <v>3168</v>
      </c>
      <c r="C201" s="97">
        <f t="shared" si="31"/>
        <v>950</v>
      </c>
      <c r="D201" s="100">
        <f t="shared" si="32"/>
        <v>904.63581798492328</v>
      </c>
      <c r="E201" s="108">
        <f t="shared" si="33"/>
        <v>257.82120812570315</v>
      </c>
    </row>
    <row r="202" spans="1:5" s="97" customFormat="1" x14ac:dyDescent="0.25">
      <c r="A202" s="97">
        <v>9</v>
      </c>
      <c r="B202" s="97">
        <f t="shared" si="30"/>
        <v>3168</v>
      </c>
      <c r="C202" s="97">
        <f t="shared" si="31"/>
        <v>950</v>
      </c>
      <c r="D202" s="100">
        <f t="shared" si="32"/>
        <v>1130.794772481154</v>
      </c>
      <c r="E202" s="108">
        <f t="shared" si="33"/>
        <v>322.27651015712894</v>
      </c>
    </row>
    <row r="203" spans="1:5" s="97" customFormat="1" x14ac:dyDescent="0.25">
      <c r="A203" s="97">
        <v>10</v>
      </c>
      <c r="B203" s="97">
        <f t="shared" si="30"/>
        <v>3168</v>
      </c>
      <c r="C203" s="97">
        <f t="shared" si="31"/>
        <v>950</v>
      </c>
      <c r="D203" s="100">
        <f t="shared" si="32"/>
        <v>1413.4934656014427</v>
      </c>
      <c r="E203" s="108">
        <f t="shared" si="33"/>
        <v>402.84563769641119</v>
      </c>
    </row>
    <row r="204" spans="1:5" s="97" customFormat="1" x14ac:dyDescent="0.25">
      <c r="A204" s="97">
        <v>11</v>
      </c>
      <c r="B204" s="97">
        <f t="shared" si="30"/>
        <v>3168</v>
      </c>
      <c r="C204" s="97">
        <f t="shared" si="31"/>
        <v>950</v>
      </c>
      <c r="D204" s="100">
        <f t="shared" si="32"/>
        <v>1766.8668320018032</v>
      </c>
      <c r="E204" s="108">
        <f t="shared" si="33"/>
        <v>503.55704712051397</v>
      </c>
    </row>
    <row r="205" spans="1:5" s="97" customFormat="1" x14ac:dyDescent="0.25">
      <c r="A205" s="97">
        <v>12</v>
      </c>
      <c r="B205" s="97">
        <f t="shared" si="30"/>
        <v>3168</v>
      </c>
      <c r="C205" s="97">
        <f t="shared" si="31"/>
        <v>950</v>
      </c>
      <c r="D205" s="100">
        <f t="shared" si="32"/>
        <v>2208.5835400022543</v>
      </c>
      <c r="E205" s="108">
        <f t="shared" si="33"/>
        <v>629.44630890064241</v>
      </c>
    </row>
    <row r="206" spans="1:5" s="97" customFormat="1" x14ac:dyDescent="0.25">
      <c r="A206" s="97">
        <v>13</v>
      </c>
      <c r="B206" s="97">
        <f t="shared" si="30"/>
        <v>3168</v>
      </c>
      <c r="C206" s="97">
        <f t="shared" si="31"/>
        <v>950</v>
      </c>
      <c r="D206" s="100">
        <f t="shared" si="32"/>
        <v>2760.7294250028176</v>
      </c>
      <c r="E206" s="108">
        <f t="shared" si="33"/>
        <v>786.80788612580307</v>
      </c>
    </row>
    <row r="207" spans="1:5" s="97" customFormat="1" x14ac:dyDescent="0.25">
      <c r="A207" s="97">
        <v>14</v>
      </c>
      <c r="B207" s="97">
        <f t="shared" si="30"/>
        <v>3168</v>
      </c>
      <c r="C207" s="97">
        <f t="shared" si="31"/>
        <v>950</v>
      </c>
      <c r="D207" s="100">
        <f t="shared" si="32"/>
        <v>3450.9117812535219</v>
      </c>
      <c r="E207" s="108">
        <f t="shared" si="33"/>
        <v>983.50985765725375</v>
      </c>
    </row>
    <row r="208" spans="1:5" s="97" customFormat="1" x14ac:dyDescent="0.25">
      <c r="A208" s="97">
        <v>15</v>
      </c>
      <c r="B208" s="97">
        <f t="shared" si="30"/>
        <v>3168</v>
      </c>
      <c r="C208" s="97">
        <f t="shared" si="31"/>
        <v>950</v>
      </c>
      <c r="D208" s="100">
        <f t="shared" si="32"/>
        <v>4313.6397265669029</v>
      </c>
      <c r="E208" s="108">
        <f t="shared" si="33"/>
        <v>1229.3873220715675</v>
      </c>
    </row>
    <row r="210" spans="1:11" x14ac:dyDescent="0.25">
      <c r="A210" s="11" t="s">
        <v>54</v>
      </c>
    </row>
    <row r="211" spans="1:11" x14ac:dyDescent="0.25">
      <c r="A211" s="11"/>
      <c r="B211" s="97"/>
      <c r="C211" s="97"/>
      <c r="D211" s="97"/>
      <c r="E211" s="97"/>
      <c r="F211" s="97"/>
      <c r="G211" s="106" t="s">
        <v>76</v>
      </c>
      <c r="H211" s="106" t="s">
        <v>75</v>
      </c>
      <c r="I211" s="97"/>
      <c r="J211" s="97"/>
      <c r="K211" s="97"/>
    </row>
    <row r="212" spans="1:11" x14ac:dyDescent="0.25">
      <c r="A212" s="99" t="s">
        <v>6</v>
      </c>
      <c r="B212" s="97"/>
      <c r="C212" s="106" t="s">
        <v>2</v>
      </c>
      <c r="D212" s="106" t="s">
        <v>3</v>
      </c>
      <c r="E212" s="97"/>
      <c r="F212" s="97"/>
      <c r="G212" s="106" t="s">
        <v>57</v>
      </c>
      <c r="H212" s="106" t="s">
        <v>57</v>
      </c>
      <c r="I212" s="97"/>
      <c r="J212" s="97"/>
      <c r="K212" s="97"/>
    </row>
    <row r="213" spans="1:11" x14ac:dyDescent="0.25">
      <c r="A213" s="99" t="s">
        <v>80</v>
      </c>
      <c r="B213" s="130">
        <f>$B$5</f>
        <v>1</v>
      </c>
      <c r="C213" s="131">
        <f>$C$5</f>
        <v>128</v>
      </c>
      <c r="D213" s="131">
        <f>$D$5</f>
        <v>2</v>
      </c>
      <c r="E213" s="132">
        <f>$E$5</f>
        <v>200</v>
      </c>
      <c r="F213" s="145">
        <f>$F$5</f>
        <v>250</v>
      </c>
      <c r="G213" s="83">
        <f>$G$5</f>
        <v>8</v>
      </c>
      <c r="H213" s="83">
        <f>$H$5</f>
        <v>0</v>
      </c>
      <c r="I213" s="133">
        <f>$I$5</f>
        <v>7</v>
      </c>
      <c r="J213" s="134">
        <f>$J$5</f>
        <v>0.75</v>
      </c>
      <c r="K213" s="134">
        <f>$K$5</f>
        <v>0.1</v>
      </c>
    </row>
    <row r="215" spans="1:11" x14ac:dyDescent="0.25">
      <c r="C215" s="1" t="s">
        <v>30</v>
      </c>
    </row>
    <row r="216" spans="1:11" x14ac:dyDescent="0.25">
      <c r="A216" s="4" t="s">
        <v>7</v>
      </c>
      <c r="B216" s="1" t="s">
        <v>55</v>
      </c>
      <c r="C216" s="1" t="s">
        <v>32</v>
      </c>
      <c r="F216" s="1"/>
    </row>
    <row r="217" spans="1:11" x14ac:dyDescent="0.25">
      <c r="A217">
        <v>0</v>
      </c>
      <c r="B217" s="43">
        <f t="shared" ref="B217:B232" si="34">throughput5*ongoingResourcePercentage5*POWER(1+cpuGrowth,A217)</f>
        <v>20</v>
      </c>
      <c r="C217" s="42">
        <f t="shared" ref="C217:C232" si="35">B217*secondsPerBlock*avgTrSize/1000/1000</f>
        <v>5.7</v>
      </c>
      <c r="F217" s="1"/>
    </row>
    <row r="218" spans="1:11" x14ac:dyDescent="0.25">
      <c r="A218">
        <v>1</v>
      </c>
      <c r="B218" s="43">
        <f t="shared" si="34"/>
        <v>23.4</v>
      </c>
      <c r="C218" s="42">
        <f t="shared" si="35"/>
        <v>6.6689999999999996</v>
      </c>
      <c r="F218" s="7"/>
    </row>
    <row r="219" spans="1:11" x14ac:dyDescent="0.25">
      <c r="A219">
        <v>2</v>
      </c>
      <c r="B219" s="43">
        <f t="shared" si="34"/>
        <v>27.377999999999997</v>
      </c>
      <c r="C219" s="42">
        <f t="shared" si="35"/>
        <v>7.8027299999999995</v>
      </c>
      <c r="F219" s="7"/>
      <c r="H219" s="1"/>
    </row>
    <row r="220" spans="1:11" x14ac:dyDescent="0.25">
      <c r="A220">
        <v>3</v>
      </c>
      <c r="B220" s="43">
        <f t="shared" si="34"/>
        <v>32.032259999999994</v>
      </c>
      <c r="C220" s="42">
        <f t="shared" si="35"/>
        <v>9.1291940999999976</v>
      </c>
      <c r="F220" s="7"/>
    </row>
    <row r="221" spans="1:11" x14ac:dyDescent="0.25">
      <c r="A221">
        <v>4</v>
      </c>
      <c r="B221" s="43">
        <f t="shared" si="34"/>
        <v>37.477744199999989</v>
      </c>
      <c r="C221" s="42">
        <f t="shared" si="35"/>
        <v>10.681157096999998</v>
      </c>
      <c r="F221" s="7"/>
    </row>
    <row r="222" spans="1:11" x14ac:dyDescent="0.25">
      <c r="A222">
        <v>5</v>
      </c>
      <c r="B222" s="43">
        <f t="shared" si="34"/>
        <v>43.848960713999986</v>
      </c>
      <c r="C222" s="42">
        <f t="shared" si="35"/>
        <v>12.496953803489996</v>
      </c>
      <c r="F222" s="7"/>
    </row>
    <row r="223" spans="1:11" x14ac:dyDescent="0.25">
      <c r="A223">
        <v>6</v>
      </c>
      <c r="B223" s="43">
        <f t="shared" si="34"/>
        <v>51.303284035379981</v>
      </c>
      <c r="C223" s="42">
        <f t="shared" si="35"/>
        <v>14.621435950083294</v>
      </c>
      <c r="F223" s="7"/>
    </row>
    <row r="224" spans="1:11" x14ac:dyDescent="0.25">
      <c r="A224">
        <v>7</v>
      </c>
      <c r="B224" s="43">
        <f t="shared" si="34"/>
        <v>60.024842321394573</v>
      </c>
      <c r="C224" s="42">
        <f t="shared" si="35"/>
        <v>17.107080061597451</v>
      </c>
      <c r="F224" s="14"/>
    </row>
    <row r="225" spans="1:11" x14ac:dyDescent="0.25">
      <c r="A225">
        <v>8</v>
      </c>
      <c r="B225" s="43">
        <f t="shared" si="34"/>
        <v>70.229065516031639</v>
      </c>
      <c r="C225" s="42">
        <f t="shared" si="35"/>
        <v>20.015283672069017</v>
      </c>
      <c r="F225" s="7"/>
    </row>
    <row r="226" spans="1:11" x14ac:dyDescent="0.25">
      <c r="A226">
        <v>9</v>
      </c>
      <c r="B226" s="43">
        <f t="shared" si="34"/>
        <v>82.168006653757004</v>
      </c>
      <c r="C226" s="42">
        <f t="shared" si="35"/>
        <v>23.417881896320743</v>
      </c>
      <c r="F226" s="7"/>
    </row>
    <row r="227" spans="1:11" x14ac:dyDescent="0.25">
      <c r="A227">
        <v>10</v>
      </c>
      <c r="B227" s="43">
        <f t="shared" si="34"/>
        <v>96.136567784895703</v>
      </c>
      <c r="C227" s="42">
        <f t="shared" si="35"/>
        <v>27.398921818695278</v>
      </c>
      <c r="F227" s="7"/>
    </row>
    <row r="228" spans="1:11" x14ac:dyDescent="0.25">
      <c r="A228">
        <v>11</v>
      </c>
      <c r="B228" s="43">
        <f t="shared" si="34"/>
        <v>112.47978430832796</v>
      </c>
      <c r="C228" s="42">
        <f t="shared" si="35"/>
        <v>32.05673852787347</v>
      </c>
      <c r="F228" s="7"/>
    </row>
    <row r="229" spans="1:11" x14ac:dyDescent="0.25">
      <c r="A229">
        <v>12</v>
      </c>
      <c r="B229" s="43">
        <f t="shared" si="34"/>
        <v>131.60134764074368</v>
      </c>
      <c r="C229" s="42">
        <f t="shared" si="35"/>
        <v>37.506384077611948</v>
      </c>
      <c r="F229" s="7"/>
    </row>
    <row r="230" spans="1:11" x14ac:dyDescent="0.25">
      <c r="A230">
        <v>13</v>
      </c>
      <c r="B230" s="43">
        <f t="shared" si="34"/>
        <v>153.97357673967011</v>
      </c>
      <c r="C230" s="42">
        <f t="shared" si="35"/>
        <v>43.882469370805978</v>
      </c>
      <c r="F230" s="7"/>
    </row>
    <row r="231" spans="1:11" x14ac:dyDescent="0.25">
      <c r="A231">
        <v>14</v>
      </c>
      <c r="B231" s="43">
        <f t="shared" si="34"/>
        <v>180.14908478541403</v>
      </c>
      <c r="C231" s="42">
        <f t="shared" si="35"/>
        <v>51.342489163842998</v>
      </c>
      <c r="F231" s="7"/>
    </row>
    <row r="232" spans="1:11" x14ac:dyDescent="0.25">
      <c r="A232">
        <v>15</v>
      </c>
      <c r="B232" s="43">
        <f t="shared" si="34"/>
        <v>210.7744291989344</v>
      </c>
      <c r="C232" s="42">
        <f t="shared" si="35"/>
        <v>60.070712321696298</v>
      </c>
      <c r="F232" s="7"/>
    </row>
    <row r="234" spans="1:11" x14ac:dyDescent="0.25">
      <c r="A234" s="11" t="s">
        <v>77</v>
      </c>
    </row>
    <row r="235" spans="1:11" x14ac:dyDescent="0.25">
      <c r="A235" s="11"/>
      <c r="B235" s="97"/>
      <c r="C235" s="97"/>
      <c r="D235" s="97"/>
      <c r="E235" s="97"/>
      <c r="F235" s="97"/>
      <c r="G235" s="106" t="s">
        <v>76</v>
      </c>
      <c r="H235" s="106" t="s">
        <v>75</v>
      </c>
      <c r="I235" s="97"/>
      <c r="J235" s="97"/>
      <c r="K235" s="97"/>
    </row>
    <row r="236" spans="1:11" x14ac:dyDescent="0.25">
      <c r="A236" s="99" t="s">
        <v>6</v>
      </c>
      <c r="B236" s="97"/>
      <c r="C236" s="106" t="s">
        <v>2</v>
      </c>
      <c r="D236" s="106" t="s">
        <v>3</v>
      </c>
      <c r="E236" s="97"/>
      <c r="F236" s="97"/>
      <c r="G236" s="106" t="s">
        <v>57</v>
      </c>
      <c r="H236" s="106" t="s">
        <v>57</v>
      </c>
      <c r="I236" s="97"/>
      <c r="J236" s="97"/>
      <c r="K236" s="97"/>
    </row>
    <row r="237" spans="1:11" x14ac:dyDescent="0.25">
      <c r="A237" s="99" t="s">
        <v>80</v>
      </c>
      <c r="B237" s="130">
        <f>$B$5</f>
        <v>1</v>
      </c>
      <c r="C237" s="131">
        <f>$C$5</f>
        <v>128</v>
      </c>
      <c r="D237" s="131">
        <f>$D$5</f>
        <v>2</v>
      </c>
      <c r="E237" s="132">
        <f>$E$5</f>
        <v>200</v>
      </c>
      <c r="F237" s="145">
        <f>$F$5</f>
        <v>250</v>
      </c>
      <c r="G237" s="83">
        <f>$G$5</f>
        <v>8</v>
      </c>
      <c r="H237" s="83">
        <f>$H$5</f>
        <v>0</v>
      </c>
      <c r="I237" s="133">
        <f>$I$5</f>
        <v>7</v>
      </c>
      <c r="J237" s="134">
        <f>$J$5</f>
        <v>0.75</v>
      </c>
      <c r="K237" s="134">
        <f>$K$5</f>
        <v>0.1</v>
      </c>
    </row>
    <row r="239" spans="1:11" x14ac:dyDescent="0.25">
      <c r="B239" s="1" t="s">
        <v>31</v>
      </c>
      <c r="C239" s="1" t="s">
        <v>45</v>
      </c>
      <c r="E239" s="1"/>
      <c r="F239" s="1"/>
      <c r="G239" s="1"/>
    </row>
    <row r="240" spans="1:11" x14ac:dyDescent="0.25">
      <c r="A240" s="4" t="s">
        <v>7</v>
      </c>
      <c r="B240" s="1" t="s">
        <v>35</v>
      </c>
      <c r="C240" s="1" t="s">
        <v>35</v>
      </c>
      <c r="E240" s="1"/>
      <c r="F240" s="1"/>
      <c r="G240" s="1"/>
      <c r="H240" s="1"/>
    </row>
    <row r="241" spans="1:8" x14ac:dyDescent="0.25">
      <c r="A241">
        <v>0</v>
      </c>
      <c r="B241" s="7">
        <f t="shared" ref="B241:B256" si="36">disk6*ongoingResourcePercent6*POWER(1+diskGrowth, A241)</f>
        <v>12.8</v>
      </c>
      <c r="C241" s="41">
        <f xml:space="preserve"> utxoSize</f>
        <v>3</v>
      </c>
      <c r="E241" s="7"/>
      <c r="F241" s="62"/>
      <c r="G241" s="63"/>
      <c r="H241" s="63"/>
    </row>
    <row r="242" spans="1:8" x14ac:dyDescent="0.25">
      <c r="A242">
        <v>1</v>
      </c>
      <c r="B242" s="7">
        <f t="shared" si="36"/>
        <v>16</v>
      </c>
      <c r="C242" s="62">
        <f xml:space="preserve"> C241 + MIN(C241*utxoGrowth, curMaxBlocksize*secondsPerYear/secondsPerBlock/KBperGB)</f>
        <v>4.5</v>
      </c>
      <c r="E242" s="7"/>
      <c r="F242" s="7"/>
      <c r="G242" s="13"/>
      <c r="H242" s="6"/>
    </row>
    <row r="243" spans="1:8" x14ac:dyDescent="0.25">
      <c r="A243">
        <v>2</v>
      </c>
      <c r="B243" s="7">
        <f t="shared" si="36"/>
        <v>20</v>
      </c>
      <c r="C243" s="62">
        <f xml:space="preserve"> C242 + MIN(C242*utxoGrowth, curMaxBlocksize*secondsPerYear/secondsPerBlock/KBperGB)</f>
        <v>6.75</v>
      </c>
      <c r="E243" s="7"/>
      <c r="F243" s="7"/>
      <c r="G243" s="13"/>
      <c r="H243" s="6"/>
    </row>
    <row r="244" spans="1:8" x14ac:dyDescent="0.25">
      <c r="A244">
        <v>3</v>
      </c>
      <c r="B244" s="7">
        <f t="shared" si="36"/>
        <v>25</v>
      </c>
      <c r="C244" s="62">
        <f t="shared" ref="C244:C256" si="37" xml:space="preserve"> C243 + MIN(C243*utxoGrowth, curMaxBlocksize*secondsPerYear/secondsPerBlock/KBperGB)</f>
        <v>10.125</v>
      </c>
      <c r="E244" s="7"/>
      <c r="F244" s="7"/>
      <c r="G244" s="13"/>
      <c r="H244" s="6"/>
    </row>
    <row r="245" spans="1:8" x14ac:dyDescent="0.25">
      <c r="A245">
        <v>4</v>
      </c>
      <c r="B245" s="7">
        <f t="shared" si="36"/>
        <v>31.25</v>
      </c>
      <c r="C245" s="62">
        <f t="shared" si="37"/>
        <v>15.1875</v>
      </c>
      <c r="E245" s="7"/>
      <c r="F245" s="7"/>
      <c r="G245" s="13"/>
      <c r="H245" s="6"/>
    </row>
    <row r="246" spans="1:8" x14ac:dyDescent="0.25">
      <c r="A246">
        <v>5</v>
      </c>
      <c r="B246" s="7">
        <f t="shared" si="36"/>
        <v>39.0625</v>
      </c>
      <c r="C246" s="62">
        <f t="shared" si="37"/>
        <v>22.78125</v>
      </c>
      <c r="E246" s="7"/>
      <c r="F246" s="7"/>
      <c r="G246" s="13"/>
      <c r="H246" s="6"/>
    </row>
    <row r="247" spans="1:8" x14ac:dyDescent="0.25">
      <c r="A247">
        <v>6</v>
      </c>
      <c r="B247" s="7">
        <f t="shared" si="36"/>
        <v>48.828125</v>
      </c>
      <c r="C247" s="62">
        <f t="shared" si="37"/>
        <v>34.171875</v>
      </c>
      <c r="E247" s="7"/>
      <c r="F247" s="7"/>
      <c r="G247" s="13"/>
      <c r="H247" s="6"/>
    </row>
    <row r="248" spans="1:8" x14ac:dyDescent="0.25">
      <c r="A248">
        <v>7</v>
      </c>
      <c r="B248" s="7">
        <f t="shared" si="36"/>
        <v>61.03515625</v>
      </c>
      <c r="C248" s="62">
        <f t="shared" si="37"/>
        <v>51.2578125</v>
      </c>
      <c r="E248" s="7"/>
      <c r="F248" s="7"/>
      <c r="G248" s="13"/>
      <c r="H248" s="6"/>
    </row>
    <row r="249" spans="1:8" x14ac:dyDescent="0.25">
      <c r="A249">
        <v>8</v>
      </c>
      <c r="B249" s="7">
        <f t="shared" si="36"/>
        <v>76.2939453125</v>
      </c>
      <c r="C249" s="62">
        <f t="shared" si="37"/>
        <v>76.88671875</v>
      </c>
      <c r="E249" s="7"/>
      <c r="F249" s="7"/>
      <c r="G249" s="13"/>
      <c r="H249" s="6"/>
    </row>
    <row r="250" spans="1:8" x14ac:dyDescent="0.25">
      <c r="A250">
        <v>9</v>
      </c>
      <c r="B250" s="7">
        <f t="shared" si="36"/>
        <v>95.367431640625</v>
      </c>
      <c r="C250" s="62">
        <f t="shared" si="37"/>
        <v>115.330078125</v>
      </c>
      <c r="E250" s="7"/>
      <c r="F250" s="7"/>
      <c r="G250" s="13"/>
      <c r="H250" s="6"/>
    </row>
    <row r="251" spans="1:8" x14ac:dyDescent="0.25">
      <c r="A251">
        <v>10</v>
      </c>
      <c r="B251" s="7">
        <f t="shared" si="36"/>
        <v>119.20928955078125</v>
      </c>
      <c r="C251" s="62">
        <f t="shared" si="37"/>
        <v>172.9951171875</v>
      </c>
      <c r="E251" s="7"/>
      <c r="F251" s="7"/>
      <c r="G251" s="13"/>
      <c r="H251" s="6"/>
    </row>
    <row r="252" spans="1:8" x14ac:dyDescent="0.25">
      <c r="A252">
        <v>11</v>
      </c>
      <c r="B252" s="7">
        <f t="shared" si="36"/>
        <v>149.01161193847656</v>
      </c>
      <c r="C252" s="62">
        <f t="shared" si="37"/>
        <v>259.49267578125</v>
      </c>
      <c r="E252" s="7"/>
      <c r="F252" s="7"/>
      <c r="G252" s="13"/>
      <c r="H252" s="6"/>
    </row>
    <row r="253" spans="1:8" x14ac:dyDescent="0.25">
      <c r="A253">
        <v>12</v>
      </c>
      <c r="B253" s="7">
        <f t="shared" si="36"/>
        <v>186.2645149230957</v>
      </c>
      <c r="C253" s="62">
        <f t="shared" si="37"/>
        <v>364.61267578125</v>
      </c>
      <c r="E253" s="7"/>
      <c r="F253" s="7"/>
      <c r="G253" s="13"/>
      <c r="H253" s="6"/>
    </row>
    <row r="254" spans="1:8" x14ac:dyDescent="0.25">
      <c r="A254">
        <v>13</v>
      </c>
      <c r="B254" s="7">
        <f t="shared" si="36"/>
        <v>232.83064365386963</v>
      </c>
      <c r="C254" s="62">
        <f t="shared" si="37"/>
        <v>469.73267578125001</v>
      </c>
      <c r="E254" s="7"/>
      <c r="F254" s="7"/>
      <c r="G254" s="13"/>
      <c r="H254" s="6"/>
    </row>
    <row r="255" spans="1:8" x14ac:dyDescent="0.25">
      <c r="A255">
        <v>14</v>
      </c>
      <c r="B255" s="7">
        <f t="shared" si="36"/>
        <v>291.03830456733704</v>
      </c>
      <c r="C255" s="62">
        <f t="shared" si="37"/>
        <v>574.85267578125001</v>
      </c>
      <c r="E255" s="7"/>
      <c r="F255" s="7"/>
      <c r="G255" s="13"/>
      <c r="H255" s="6"/>
    </row>
    <row r="256" spans="1:8" x14ac:dyDescent="0.25">
      <c r="A256">
        <v>15</v>
      </c>
      <c r="B256" s="7">
        <f t="shared" si="36"/>
        <v>363.7978807091713</v>
      </c>
      <c r="C256" s="62">
        <f t="shared" si="37"/>
        <v>679.97267578125002</v>
      </c>
      <c r="E256" s="7"/>
      <c r="F256" s="7"/>
      <c r="G256" s="13"/>
      <c r="H256" s="6"/>
    </row>
    <row r="258" spans="1:11" x14ac:dyDescent="0.25">
      <c r="A258" s="11" t="s">
        <v>74</v>
      </c>
    </row>
    <row r="259" spans="1:11" x14ac:dyDescent="0.25">
      <c r="A259" s="102"/>
      <c r="B259" s="97"/>
      <c r="C259" s="97"/>
      <c r="D259" s="97"/>
      <c r="E259" s="97"/>
      <c r="F259" s="97"/>
      <c r="G259" s="106" t="s">
        <v>76</v>
      </c>
      <c r="H259" s="106" t="s">
        <v>75</v>
      </c>
      <c r="I259" s="97"/>
      <c r="J259" s="97"/>
      <c r="K259" s="97"/>
    </row>
    <row r="260" spans="1:11" x14ac:dyDescent="0.25">
      <c r="A260" s="99" t="s">
        <v>6</v>
      </c>
      <c r="B260" s="97"/>
      <c r="C260" s="106" t="s">
        <v>2</v>
      </c>
      <c r="D260" s="106" t="s">
        <v>3</v>
      </c>
      <c r="E260" s="97"/>
      <c r="F260" s="97"/>
      <c r="G260" s="106" t="s">
        <v>57</v>
      </c>
      <c r="H260" s="106" t="s">
        <v>57</v>
      </c>
      <c r="I260" s="97"/>
      <c r="J260" s="97"/>
      <c r="K260" s="97"/>
    </row>
    <row r="261" spans="1:11" x14ac:dyDescent="0.25">
      <c r="A261" s="99" t="s">
        <v>81</v>
      </c>
      <c r="B261" s="130">
        <f>$B$4</f>
        <v>50</v>
      </c>
      <c r="C261" s="131">
        <f>$C$4</f>
        <v>2000</v>
      </c>
      <c r="D261" s="131">
        <f>$D$4</f>
        <v>8</v>
      </c>
      <c r="E261" s="132">
        <f>$E$4</f>
        <v>5000</v>
      </c>
      <c r="F261" s="145">
        <f>$F$4</f>
        <v>130</v>
      </c>
      <c r="G261" s="83">
        <f>$G$4</f>
        <v>8</v>
      </c>
      <c r="H261" s="83">
        <f>$H$4</f>
        <v>80</v>
      </c>
      <c r="I261" s="133">
        <f>$I$4</f>
        <v>7</v>
      </c>
      <c r="J261" s="134">
        <f>$J$4</f>
        <v>0.5</v>
      </c>
      <c r="K261" s="134">
        <f>$K$4</f>
        <v>0.1</v>
      </c>
    </row>
    <row r="263" spans="1:11" x14ac:dyDescent="0.25">
      <c r="B263" s="1" t="s">
        <v>45</v>
      </c>
      <c r="C263" s="1" t="s">
        <v>39</v>
      </c>
      <c r="D263" s="1"/>
      <c r="E263" s="1" t="s">
        <v>31</v>
      </c>
    </row>
    <row r="264" spans="1:11" x14ac:dyDescent="0.25">
      <c r="A264" s="4" t="s">
        <v>7</v>
      </c>
      <c r="B264" s="1" t="s">
        <v>35</v>
      </c>
      <c r="C264" s="1" t="s">
        <v>50</v>
      </c>
      <c r="D264" s="1" t="s">
        <v>53</v>
      </c>
      <c r="E264" s="1" t="s">
        <v>32</v>
      </c>
      <c r="F264" s="1" t="s">
        <v>20</v>
      </c>
    </row>
    <row r="265" spans="1:11" x14ac:dyDescent="0.25">
      <c r="A265">
        <v>0</v>
      </c>
      <c r="B265" s="41">
        <f xml:space="preserve"> utxoSize</f>
        <v>3</v>
      </c>
      <c r="C265" s="7">
        <f t="shared" ref="C265:C280" si="38">disk7*ongoingResourcePercent7*POWER(1+diskGrowth, A265) - B265</f>
        <v>197</v>
      </c>
      <c r="D265" s="59"/>
      <c r="E265" s="60"/>
      <c r="F265" s="60"/>
    </row>
    <row r="266" spans="1:11" x14ac:dyDescent="0.25">
      <c r="A266">
        <v>1</v>
      </c>
      <c r="B266" s="41">
        <f xml:space="preserve"> B265 + B265*utxoGrowth</f>
        <v>4.5</v>
      </c>
      <c r="C266" s="7">
        <f t="shared" si="38"/>
        <v>245.5</v>
      </c>
      <c r="D266" s="7">
        <f>C266-C265</f>
        <v>48.5</v>
      </c>
      <c r="E266" s="13">
        <f t="shared" ref="E266:E280" si="39">D266*1000*1000*secondsPerBlock/secondsPerYear</f>
        <v>922.75494672754951</v>
      </c>
      <c r="F266" s="6">
        <f>E266*1000/secondsPerBlock/avgTrSize</f>
        <v>3.2377366551843845</v>
      </c>
    </row>
    <row r="267" spans="1:11" x14ac:dyDescent="0.25">
      <c r="A267">
        <v>2</v>
      </c>
      <c r="B267" s="7">
        <f t="shared" ref="B267:B280" si="40" xml:space="preserve"> B266 + MIN(B266*utxoGrowth,D266)</f>
        <v>6.75</v>
      </c>
      <c r="C267" s="7">
        <f t="shared" si="38"/>
        <v>305.75</v>
      </c>
      <c r="D267" s="7">
        <f t="shared" ref="D267:D280" si="41">C267-C266</f>
        <v>60.25</v>
      </c>
      <c r="E267" s="13">
        <f t="shared" si="39"/>
        <v>1146.3089802130899</v>
      </c>
      <c r="F267" s="6">
        <f t="shared" ref="F267:F280" si="42">E267*1000/secondsPerBlock/avgTrSize</f>
        <v>4.0221367726775084</v>
      </c>
    </row>
    <row r="268" spans="1:11" x14ac:dyDescent="0.25">
      <c r="A268">
        <v>3</v>
      </c>
      <c r="B268" s="7">
        <f t="shared" si="40"/>
        <v>10.125</v>
      </c>
      <c r="C268" s="7">
        <f t="shared" si="38"/>
        <v>380.5</v>
      </c>
      <c r="D268" s="7">
        <f t="shared" si="41"/>
        <v>74.75</v>
      </c>
      <c r="E268" s="13">
        <f t="shared" si="39"/>
        <v>1422.1841704718418</v>
      </c>
      <c r="F268" s="6">
        <f t="shared" si="42"/>
        <v>4.9901198963924269</v>
      </c>
    </row>
    <row r="269" spans="1:11" x14ac:dyDescent="0.25">
      <c r="A269">
        <v>4</v>
      </c>
      <c r="B269" s="7">
        <f t="shared" si="40"/>
        <v>15.1875</v>
      </c>
      <c r="C269" s="7">
        <f t="shared" si="38"/>
        <v>473.09375</v>
      </c>
      <c r="D269" s="7">
        <f t="shared" si="41"/>
        <v>92.59375</v>
      </c>
      <c r="E269" s="13">
        <f t="shared" si="39"/>
        <v>1761.6771308980212</v>
      </c>
      <c r="F269" s="6">
        <f t="shared" si="42"/>
        <v>6.1813232663088469</v>
      </c>
    </row>
    <row r="270" spans="1:11" x14ac:dyDescent="0.25">
      <c r="A270">
        <v>5</v>
      </c>
      <c r="B270" s="7">
        <f t="shared" si="40"/>
        <v>22.78125</v>
      </c>
      <c r="C270" s="7">
        <f t="shared" si="38"/>
        <v>587.5703125</v>
      </c>
      <c r="D270" s="7">
        <f t="shared" si="41"/>
        <v>114.4765625</v>
      </c>
      <c r="E270" s="13">
        <f t="shared" si="39"/>
        <v>2178.0167903348556</v>
      </c>
      <c r="F270" s="6">
        <f t="shared" si="42"/>
        <v>7.6421641766135284</v>
      </c>
    </row>
    <row r="271" spans="1:11" x14ac:dyDescent="0.25">
      <c r="A271">
        <v>6</v>
      </c>
      <c r="B271" s="7">
        <f t="shared" si="40"/>
        <v>34.171875</v>
      </c>
      <c r="C271" s="7">
        <f t="shared" si="38"/>
        <v>728.767578125</v>
      </c>
      <c r="D271" s="7">
        <f t="shared" si="41"/>
        <v>141.197265625</v>
      </c>
      <c r="E271" s="13">
        <f t="shared" si="39"/>
        <v>2686.4015529870626</v>
      </c>
      <c r="F271" s="6">
        <f t="shared" si="42"/>
        <v>9.4259703613581127</v>
      </c>
    </row>
    <row r="272" spans="1:11" x14ac:dyDescent="0.25">
      <c r="A272">
        <v>7</v>
      </c>
      <c r="B272" s="7">
        <f t="shared" si="40"/>
        <v>51.2578125</v>
      </c>
      <c r="C272" s="7">
        <f t="shared" si="38"/>
        <v>902.41650390625</v>
      </c>
      <c r="D272" s="7">
        <f t="shared" si="41"/>
        <v>173.64892578125</v>
      </c>
      <c r="E272" s="13">
        <f t="shared" si="39"/>
        <v>3303.8227888365677</v>
      </c>
      <c r="F272" s="6">
        <f t="shared" si="42"/>
        <v>11.592360662584449</v>
      </c>
    </row>
    <row r="273" spans="1:11" x14ac:dyDescent="0.25">
      <c r="A273">
        <v>8</v>
      </c>
      <c r="B273" s="7">
        <f t="shared" si="40"/>
        <v>76.88671875</v>
      </c>
      <c r="C273" s="7">
        <f t="shared" si="38"/>
        <v>1115.2061767578125</v>
      </c>
      <c r="D273" s="7">
        <f t="shared" si="41"/>
        <v>212.7896728515625</v>
      </c>
      <c r="E273" s="13">
        <f t="shared" si="39"/>
        <v>4048.5097574498191</v>
      </c>
      <c r="F273" s="6">
        <f t="shared" si="42"/>
        <v>14.205297394560768</v>
      </c>
    </row>
    <row r="274" spans="1:11" x14ac:dyDescent="0.25">
      <c r="A274">
        <v>9</v>
      </c>
      <c r="B274" s="7">
        <f t="shared" si="40"/>
        <v>115.330078125</v>
      </c>
      <c r="C274" s="7">
        <f t="shared" si="38"/>
        <v>1374.7860412597656</v>
      </c>
      <c r="D274" s="7">
        <f t="shared" si="41"/>
        <v>259.57986450195312</v>
      </c>
      <c r="E274" s="13">
        <f t="shared" si="39"/>
        <v>4938.7341039184384</v>
      </c>
      <c r="F274" s="6">
        <f t="shared" si="42"/>
        <v>17.328891592696273</v>
      </c>
    </row>
    <row r="275" spans="1:11" x14ac:dyDescent="0.25">
      <c r="A275">
        <v>10</v>
      </c>
      <c r="B275" s="7">
        <f t="shared" si="40"/>
        <v>172.9951171875</v>
      </c>
      <c r="C275" s="7">
        <f t="shared" si="38"/>
        <v>1689.650032043457</v>
      </c>
      <c r="D275" s="7">
        <f t="shared" si="41"/>
        <v>314.86399078369141</v>
      </c>
      <c r="E275" s="13">
        <f t="shared" si="39"/>
        <v>5990.5629905572951</v>
      </c>
      <c r="F275" s="6">
        <f t="shared" si="42"/>
        <v>21.019519265113317</v>
      </c>
    </row>
    <row r="276" spans="1:11" x14ac:dyDescent="0.25">
      <c r="A276">
        <v>11</v>
      </c>
      <c r="B276" s="7">
        <f t="shared" si="40"/>
        <v>259.49267578125</v>
      </c>
      <c r="C276" s="7">
        <f t="shared" si="38"/>
        <v>2068.8137607574463</v>
      </c>
      <c r="D276" s="7">
        <f t="shared" si="41"/>
        <v>379.16372871398926</v>
      </c>
      <c r="E276" s="13">
        <f t="shared" si="39"/>
        <v>7213.921779185488</v>
      </c>
      <c r="F276" s="6">
        <f t="shared" si="42"/>
        <v>25.312006242756098</v>
      </c>
    </row>
    <row r="277" spans="1:11" x14ac:dyDescent="0.25">
      <c r="A277">
        <v>12</v>
      </c>
      <c r="B277" s="7">
        <f t="shared" si="40"/>
        <v>389.239013671875</v>
      </c>
      <c r="C277" s="7">
        <f t="shared" si="38"/>
        <v>2521.1440320014954</v>
      </c>
      <c r="D277" s="7">
        <f t="shared" si="41"/>
        <v>452.33027124404907</v>
      </c>
      <c r="E277" s="13">
        <f t="shared" si="39"/>
        <v>8605.9792854651641</v>
      </c>
      <c r="F277" s="6">
        <f t="shared" si="42"/>
        <v>30.196418545491802</v>
      </c>
    </row>
    <row r="278" spans="1:11" x14ac:dyDescent="0.25">
      <c r="A278">
        <v>13</v>
      </c>
      <c r="B278" s="7">
        <f t="shared" si="40"/>
        <v>583.8585205078125</v>
      </c>
      <c r="C278" s="7">
        <f t="shared" si="38"/>
        <v>3054.1202865839005</v>
      </c>
      <c r="D278" s="7">
        <f t="shared" si="41"/>
        <v>532.97625458240509</v>
      </c>
      <c r="E278" s="13">
        <f t="shared" si="39"/>
        <v>10140.339699056414</v>
      </c>
      <c r="F278" s="6">
        <f t="shared" si="42"/>
        <v>35.580139294934789</v>
      </c>
    </row>
    <row r="279" spans="1:11" x14ac:dyDescent="0.25">
      <c r="A279">
        <v>14</v>
      </c>
      <c r="B279" s="7">
        <f t="shared" si="40"/>
        <v>875.78778076171875</v>
      </c>
      <c r="C279" s="7">
        <f t="shared" si="38"/>
        <v>3671.6857281029224</v>
      </c>
      <c r="D279" s="7">
        <f t="shared" si="41"/>
        <v>617.56544151902199</v>
      </c>
      <c r="E279" s="13">
        <f t="shared" si="39"/>
        <v>11749.723012157952</v>
      </c>
      <c r="F279" s="6">
        <f t="shared" si="42"/>
        <v>41.227098288273517</v>
      </c>
    </row>
    <row r="280" spans="1:11" x14ac:dyDescent="0.25">
      <c r="A280">
        <v>15</v>
      </c>
      <c r="B280" s="7">
        <f t="shared" si="40"/>
        <v>1313.6816711425781</v>
      </c>
      <c r="C280" s="7">
        <f t="shared" si="38"/>
        <v>4370.6602149382234</v>
      </c>
      <c r="D280" s="7">
        <f t="shared" si="41"/>
        <v>698.97448683530092</v>
      </c>
      <c r="E280" s="13">
        <f t="shared" si="39"/>
        <v>13298.601347703594</v>
      </c>
      <c r="F280" s="6">
        <f t="shared" si="42"/>
        <v>46.661759114749451</v>
      </c>
    </row>
    <row r="283" spans="1:11" x14ac:dyDescent="0.25">
      <c r="A283" s="11" t="s">
        <v>48</v>
      </c>
      <c r="B283" s="37"/>
    </row>
    <row r="284" spans="1:11" s="97" customFormat="1" x14ac:dyDescent="0.25">
      <c r="A284" s="11"/>
      <c r="G284" s="106" t="s">
        <v>76</v>
      </c>
      <c r="H284" s="106" t="s">
        <v>75</v>
      </c>
    </row>
    <row r="285" spans="1:11" x14ac:dyDescent="0.25">
      <c r="A285" s="99" t="s">
        <v>6</v>
      </c>
      <c r="B285" s="97"/>
      <c r="C285" s="106" t="s">
        <v>2</v>
      </c>
      <c r="D285" s="106" t="s">
        <v>3</v>
      </c>
      <c r="E285" s="97"/>
      <c r="F285" s="97"/>
      <c r="G285" s="106" t="s">
        <v>57</v>
      </c>
      <c r="H285" s="106" t="s">
        <v>57</v>
      </c>
      <c r="I285" s="97"/>
      <c r="J285" s="97"/>
      <c r="K285" s="97"/>
    </row>
    <row r="286" spans="1:11" x14ac:dyDescent="0.25">
      <c r="A286" s="99" t="s">
        <v>80</v>
      </c>
      <c r="B286" s="130">
        <f>$B$5</f>
        <v>1</v>
      </c>
      <c r="C286" s="131">
        <f>$C$5</f>
        <v>128</v>
      </c>
      <c r="D286" s="131">
        <f>$D$5</f>
        <v>2</v>
      </c>
      <c r="E286" s="132">
        <f>$E$5</f>
        <v>200</v>
      </c>
      <c r="F286" s="145">
        <f>$F$5</f>
        <v>250</v>
      </c>
      <c r="G286" s="83">
        <f>$G$5</f>
        <v>8</v>
      </c>
      <c r="H286" s="83">
        <f>$H$5</f>
        <v>0</v>
      </c>
      <c r="I286" s="133">
        <f>$I$5</f>
        <v>7</v>
      </c>
      <c r="J286" s="134">
        <f>$J$5</f>
        <v>0.75</v>
      </c>
      <c r="K286" s="134">
        <f>$K$5</f>
        <v>0.1</v>
      </c>
    </row>
    <row r="287" spans="1:11" s="97" customFormat="1" x14ac:dyDescent="0.25">
      <c r="A287" s="99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E288" s="1" t="s">
        <v>45</v>
      </c>
    </row>
    <row r="289" spans="1:5" x14ac:dyDescent="0.25">
      <c r="B289" s="1" t="s">
        <v>44</v>
      </c>
      <c r="C289" s="1" t="s">
        <v>44</v>
      </c>
      <c r="D289" s="1" t="s">
        <v>45</v>
      </c>
      <c r="E289" s="1" t="s">
        <v>33</v>
      </c>
    </row>
    <row r="290" spans="1:5" x14ac:dyDescent="0.25">
      <c r="A290" s="4" t="s">
        <v>7</v>
      </c>
      <c r="B290" s="1" t="s">
        <v>43</v>
      </c>
      <c r="C290" s="1" t="s">
        <v>46</v>
      </c>
      <c r="D290" s="1" t="s">
        <v>35</v>
      </c>
      <c r="E290" s="1" t="s">
        <v>43</v>
      </c>
    </row>
    <row r="291" spans="1:5" x14ac:dyDescent="0.25">
      <c r="A291">
        <v>0</v>
      </c>
      <c r="B291" s="39">
        <f t="shared" ref="B291:B306" si="43">memory6p5*ongoingResourcePercent6p5*POWER(1+memoryGrowth, A291)</f>
        <v>0.2</v>
      </c>
      <c r="C291" s="7">
        <f>B291/utxoExpand/utxoMemoryPercent</f>
        <v>1.3333333333333335</v>
      </c>
      <c r="D291" s="91">
        <f xml:space="preserve"> utxoSize</f>
        <v>3</v>
      </c>
      <c r="E291" s="39">
        <f t="shared" ref="E291:E306" si="44">D291*utxoExpand*utxoMemoryPercent</f>
        <v>0.45</v>
      </c>
    </row>
    <row r="292" spans="1:5" x14ac:dyDescent="0.25">
      <c r="A292">
        <v>1</v>
      </c>
      <c r="B292" s="39">
        <f t="shared" si="43"/>
        <v>0.22999999999999998</v>
      </c>
      <c r="C292" s="7">
        <f t="shared" ref="C292:C306" si="45">B292/utxoExpand/utxoMemoryPercent</f>
        <v>1.5333333333333334</v>
      </c>
      <c r="D292" s="93">
        <f xml:space="preserve"> D291 + MIN(D291*utxoGrowth, curMaxBlocksize*secondsPerYear/secondsPerBlock/KBperGB)</f>
        <v>4.5</v>
      </c>
      <c r="E292" s="39">
        <f t="shared" si="44"/>
        <v>0.67499999999999993</v>
      </c>
    </row>
    <row r="293" spans="1:5" x14ac:dyDescent="0.25">
      <c r="A293">
        <v>2</v>
      </c>
      <c r="B293" s="39">
        <f t="shared" si="43"/>
        <v>0.26449999999999996</v>
      </c>
      <c r="C293" s="7">
        <f t="shared" si="45"/>
        <v>1.7633333333333334</v>
      </c>
      <c r="D293" s="93">
        <f xml:space="preserve"> D292 + MIN(D292*utxoGrowth, curMaxBlocksize*secondsPerYear/secondsPerBlock/KBperGB)</f>
        <v>6.75</v>
      </c>
      <c r="E293" s="39">
        <f t="shared" si="44"/>
        <v>1.0125</v>
      </c>
    </row>
    <row r="294" spans="1:5" x14ac:dyDescent="0.25">
      <c r="A294">
        <v>3</v>
      </c>
      <c r="B294" s="39">
        <f t="shared" si="43"/>
        <v>0.30417499999999992</v>
      </c>
      <c r="C294" s="7">
        <f t="shared" si="45"/>
        <v>2.0278333333333332</v>
      </c>
      <c r="D294" s="93">
        <f t="shared" ref="D294:D306" si="46" xml:space="preserve"> D293 + MIN(D293*utxoGrowth, curMaxBlocksize*secondsPerYear/secondsPerBlock/KBperGB)</f>
        <v>10.125</v>
      </c>
      <c r="E294" s="39">
        <f t="shared" si="44"/>
        <v>1.5187499999999996</v>
      </c>
    </row>
    <row r="295" spans="1:5" x14ac:dyDescent="0.25">
      <c r="A295">
        <v>4</v>
      </c>
      <c r="B295" s="39">
        <f t="shared" si="43"/>
        <v>0.3498012499999999</v>
      </c>
      <c r="C295" s="7">
        <f t="shared" si="45"/>
        <v>2.332008333333333</v>
      </c>
      <c r="D295" s="93">
        <f t="shared" si="46"/>
        <v>15.1875</v>
      </c>
      <c r="E295" s="39">
        <f t="shared" si="44"/>
        <v>2.2781249999999997</v>
      </c>
    </row>
    <row r="296" spans="1:5" x14ac:dyDescent="0.25">
      <c r="A296">
        <v>5</v>
      </c>
      <c r="B296" s="39">
        <f t="shared" si="43"/>
        <v>0.40227143749999988</v>
      </c>
      <c r="C296" s="7">
        <f t="shared" si="45"/>
        <v>2.6818095833333331</v>
      </c>
      <c r="D296" s="93">
        <f t="shared" si="46"/>
        <v>22.78125</v>
      </c>
      <c r="E296" s="39">
        <f t="shared" si="44"/>
        <v>3.4171874999999998</v>
      </c>
    </row>
    <row r="297" spans="1:5" x14ac:dyDescent="0.25">
      <c r="A297">
        <v>6</v>
      </c>
      <c r="B297" s="39">
        <f t="shared" si="43"/>
        <v>0.46261215312499981</v>
      </c>
      <c r="C297" s="7">
        <f t="shared" si="45"/>
        <v>3.0840810208333327</v>
      </c>
      <c r="D297" s="93">
        <f t="shared" si="46"/>
        <v>34.171875</v>
      </c>
      <c r="E297" s="39">
        <f t="shared" si="44"/>
        <v>5.1257812499999993</v>
      </c>
    </row>
    <row r="298" spans="1:5" x14ac:dyDescent="0.25">
      <c r="A298">
        <v>7</v>
      </c>
      <c r="B298" s="39">
        <f t="shared" si="43"/>
        <v>0.53200397609374972</v>
      </c>
      <c r="C298" s="7">
        <f t="shared" si="45"/>
        <v>3.5466931739583316</v>
      </c>
      <c r="D298" s="93">
        <f t="shared" si="46"/>
        <v>51.2578125</v>
      </c>
      <c r="E298" s="39">
        <f t="shared" si="44"/>
        <v>7.6886718749999989</v>
      </c>
    </row>
    <row r="299" spans="1:5" x14ac:dyDescent="0.25">
      <c r="A299">
        <v>8</v>
      </c>
      <c r="B299" s="39">
        <f t="shared" si="43"/>
        <v>0.61180457250781206</v>
      </c>
      <c r="C299" s="7">
        <f t="shared" si="45"/>
        <v>4.078697150052081</v>
      </c>
      <c r="D299" s="93">
        <f t="shared" si="46"/>
        <v>76.88671875</v>
      </c>
      <c r="E299" s="39">
        <f t="shared" si="44"/>
        <v>11.533007812499999</v>
      </c>
    </row>
    <row r="300" spans="1:5" x14ac:dyDescent="0.25">
      <c r="A300">
        <v>9</v>
      </c>
      <c r="B300" s="39">
        <f t="shared" si="43"/>
        <v>0.70357525838398383</v>
      </c>
      <c r="C300" s="7">
        <f t="shared" si="45"/>
        <v>4.6905017225598931</v>
      </c>
      <c r="D300" s="93">
        <f t="shared" si="46"/>
        <v>115.330078125</v>
      </c>
      <c r="E300" s="39">
        <f t="shared" si="44"/>
        <v>17.299511718750001</v>
      </c>
    </row>
    <row r="301" spans="1:5" x14ac:dyDescent="0.25">
      <c r="A301">
        <v>10</v>
      </c>
      <c r="B301" s="39">
        <f t="shared" si="43"/>
        <v>0.8091115471415814</v>
      </c>
      <c r="C301" s="7">
        <f t="shared" si="45"/>
        <v>5.3940769809438764</v>
      </c>
      <c r="D301" s="93">
        <f t="shared" si="46"/>
        <v>172.9951171875</v>
      </c>
      <c r="E301" s="39">
        <f t="shared" si="44"/>
        <v>25.949267578124996</v>
      </c>
    </row>
    <row r="302" spans="1:5" x14ac:dyDescent="0.25">
      <c r="A302">
        <v>11</v>
      </c>
      <c r="B302" s="39">
        <f t="shared" si="43"/>
        <v>0.93047827921281856</v>
      </c>
      <c r="C302" s="7">
        <f t="shared" si="45"/>
        <v>6.2031885280854571</v>
      </c>
      <c r="D302" s="93">
        <f t="shared" si="46"/>
        <v>259.49267578125</v>
      </c>
      <c r="E302" s="39">
        <f t="shared" si="44"/>
        <v>38.923901367187497</v>
      </c>
    </row>
    <row r="303" spans="1:5" x14ac:dyDescent="0.25">
      <c r="A303">
        <v>12</v>
      </c>
      <c r="B303" s="39">
        <f t="shared" si="43"/>
        <v>1.070050021094741</v>
      </c>
      <c r="C303" s="7">
        <f t="shared" si="45"/>
        <v>7.1336668072982734</v>
      </c>
      <c r="D303" s="93">
        <f t="shared" si="46"/>
        <v>364.61267578125</v>
      </c>
      <c r="E303" s="39">
        <f t="shared" si="44"/>
        <v>54.691901367187498</v>
      </c>
    </row>
    <row r="304" spans="1:5" x14ac:dyDescent="0.25">
      <c r="A304">
        <v>13</v>
      </c>
      <c r="B304" s="39">
        <f t="shared" si="43"/>
        <v>1.2305575242589524</v>
      </c>
      <c r="C304" s="7">
        <f t="shared" si="45"/>
        <v>8.2037168283930164</v>
      </c>
      <c r="D304" s="93">
        <f t="shared" si="46"/>
        <v>469.73267578125001</v>
      </c>
      <c r="E304" s="39">
        <f t="shared" si="44"/>
        <v>70.459901367187499</v>
      </c>
    </row>
    <row r="305" spans="1:11" x14ac:dyDescent="0.25">
      <c r="A305">
        <v>14</v>
      </c>
      <c r="B305" s="39">
        <f t="shared" si="43"/>
        <v>1.4151411528977951</v>
      </c>
      <c r="C305" s="7">
        <f t="shared" si="45"/>
        <v>9.4342743526519683</v>
      </c>
      <c r="D305" s="93">
        <f t="shared" si="46"/>
        <v>574.85267578125001</v>
      </c>
      <c r="E305" s="39">
        <f t="shared" si="44"/>
        <v>86.227901367187499</v>
      </c>
    </row>
    <row r="306" spans="1:11" x14ac:dyDescent="0.25">
      <c r="A306">
        <v>15</v>
      </c>
      <c r="B306" s="39">
        <f t="shared" si="43"/>
        <v>1.627412325832464</v>
      </c>
      <c r="C306" s="7">
        <f t="shared" si="45"/>
        <v>10.849415505549761</v>
      </c>
      <c r="D306" s="93">
        <f t="shared" si="46"/>
        <v>679.97267578125002</v>
      </c>
      <c r="E306" s="39">
        <f t="shared" si="44"/>
        <v>101.99590136718749</v>
      </c>
    </row>
    <row r="307" spans="1:11" s="97" customFormat="1" x14ac:dyDescent="0.25">
      <c r="B307" s="39"/>
      <c r="C307" s="7"/>
      <c r="D307" s="93"/>
      <c r="E307" s="39"/>
    </row>
    <row r="308" spans="1:11" s="97" customFormat="1" x14ac:dyDescent="0.25">
      <c r="A308" s="11" t="s">
        <v>158</v>
      </c>
      <c r="B308" s="39"/>
      <c r="C308" s="7"/>
      <c r="D308" s="93"/>
      <c r="E308" s="39"/>
    </row>
    <row r="309" spans="1:11" s="97" customFormat="1" x14ac:dyDescent="0.25">
      <c r="A309" s="11"/>
      <c r="G309" s="106" t="s">
        <v>76</v>
      </c>
      <c r="H309" s="106" t="s">
        <v>75</v>
      </c>
    </row>
    <row r="310" spans="1:11" s="97" customFormat="1" x14ac:dyDescent="0.25">
      <c r="A310" s="99" t="s">
        <v>133</v>
      </c>
      <c r="C310" s="106" t="s">
        <v>2</v>
      </c>
      <c r="D310" s="106" t="s">
        <v>3</v>
      </c>
      <c r="F310" s="106" t="s">
        <v>143</v>
      </c>
      <c r="G310" s="106" t="s">
        <v>57</v>
      </c>
      <c r="H310" s="106" t="s">
        <v>57</v>
      </c>
    </row>
    <row r="311" spans="1:11" s="97" customFormat="1" x14ac:dyDescent="0.25">
      <c r="A311" s="136" t="str">
        <f>$A$3</f>
        <v>1st %ile</v>
      </c>
      <c r="B311" s="130">
        <f>$B$3</f>
        <v>1000</v>
      </c>
      <c r="C311" s="131">
        <f>$C$3</f>
        <v>10000</v>
      </c>
      <c r="D311" s="131">
        <f>$D$3</f>
        <v>20</v>
      </c>
      <c r="E311" s="132">
        <f>$E$3</f>
        <v>50000</v>
      </c>
      <c r="F311" s="145">
        <f>$F$3</f>
        <v>90</v>
      </c>
      <c r="G311" s="83">
        <f>$G$3</f>
        <v>8</v>
      </c>
      <c r="H311" s="83">
        <f>$H$3</f>
        <v>80</v>
      </c>
      <c r="I311" s="133">
        <f>$I$3</f>
        <v>7</v>
      </c>
      <c r="J311" s="134">
        <f>$J$3</f>
        <v>0.75</v>
      </c>
      <c r="K311" s="134">
        <f>$K$3</f>
        <v>0.1</v>
      </c>
    </row>
    <row r="312" spans="1:11" s="97" customFormat="1" x14ac:dyDescent="0.25">
      <c r="A312" s="99" t="s">
        <v>81</v>
      </c>
      <c r="B312" s="130">
        <f>$B$4</f>
        <v>50</v>
      </c>
      <c r="C312" s="131">
        <f>$C$4</f>
        <v>2000</v>
      </c>
      <c r="D312" s="131">
        <f>$D$4</f>
        <v>8</v>
      </c>
      <c r="E312" s="132">
        <f>$E$4</f>
        <v>5000</v>
      </c>
      <c r="F312" s="145">
        <f>$F$4</f>
        <v>130</v>
      </c>
      <c r="G312" s="83">
        <f>$G$4</f>
        <v>8</v>
      </c>
      <c r="H312" s="83">
        <f>$H$4</f>
        <v>80</v>
      </c>
      <c r="I312" s="133">
        <f>$I$4</f>
        <v>7</v>
      </c>
      <c r="J312" s="134">
        <f>$J$4</f>
        <v>0.5</v>
      </c>
      <c r="K312" s="134">
        <f>$K$4</f>
        <v>0.1</v>
      </c>
    </row>
    <row r="313" spans="1:11" s="97" customFormat="1" x14ac:dyDescent="0.25">
      <c r="A313" s="136" t="str">
        <f>$A$5</f>
        <v>90th %ile</v>
      </c>
      <c r="B313" s="130">
        <f>$B$5</f>
        <v>1</v>
      </c>
      <c r="C313" s="131">
        <f>$C$5</f>
        <v>128</v>
      </c>
      <c r="D313" s="131">
        <f>$D$5</f>
        <v>2</v>
      </c>
      <c r="E313" s="132">
        <f>$E$5</f>
        <v>200</v>
      </c>
      <c r="F313" s="145">
        <f>$F$5</f>
        <v>250</v>
      </c>
      <c r="G313" s="83">
        <f>$G$5</f>
        <v>8</v>
      </c>
      <c r="H313" s="83">
        <f>$H$5</f>
        <v>0</v>
      </c>
      <c r="I313" s="133">
        <f>$I$5</f>
        <v>7</v>
      </c>
      <c r="J313" s="134">
        <f>$J$5</f>
        <v>0.75</v>
      </c>
      <c r="K313" s="134">
        <f>$K$5</f>
        <v>0.1</v>
      </c>
    </row>
    <row r="314" spans="1:11" s="97" customFormat="1" x14ac:dyDescent="0.25">
      <c r="B314" s="39"/>
      <c r="C314" s="7"/>
      <c r="D314" s="93"/>
      <c r="E314" s="39"/>
    </row>
    <row r="315" spans="1:11" s="97" customFormat="1" x14ac:dyDescent="0.25">
      <c r="C315" s="98" t="s">
        <v>138</v>
      </c>
      <c r="F315" s="98" t="s">
        <v>136</v>
      </c>
      <c r="G315" s="173" t="s">
        <v>183</v>
      </c>
    </row>
    <row r="316" spans="1:11" s="97" customFormat="1" x14ac:dyDescent="0.25">
      <c r="B316" s="98" t="s">
        <v>142</v>
      </c>
      <c r="C316" s="98" t="s">
        <v>140</v>
      </c>
      <c r="D316" s="173"/>
      <c r="E316" s="98" t="s">
        <v>136</v>
      </c>
      <c r="F316" s="173" t="s">
        <v>176</v>
      </c>
      <c r="G316" s="173" t="s">
        <v>184</v>
      </c>
    </row>
    <row r="317" spans="1:11" s="97" customFormat="1" x14ac:dyDescent="0.25">
      <c r="B317" s="98" t="s">
        <v>46</v>
      </c>
      <c r="C317" s="98" t="s">
        <v>141</v>
      </c>
      <c r="D317" s="173" t="s">
        <v>57</v>
      </c>
      <c r="E317" s="98" t="s">
        <v>139</v>
      </c>
      <c r="F317" s="98" t="s">
        <v>1</v>
      </c>
      <c r="G317" s="173" t="s">
        <v>185</v>
      </c>
    </row>
    <row r="318" spans="1:11" s="97" customFormat="1" x14ac:dyDescent="0.25">
      <c r="B318" s="139">
        <v>0.25</v>
      </c>
      <c r="C318" s="142">
        <v>1E-3</v>
      </c>
      <c r="D318" s="179">
        <f>(privateConnections10thb+publicConnections10thb)</f>
        <v>88</v>
      </c>
      <c r="E318" s="180">
        <f>LOG(curUsers*1000*1000)/LOG(D318/2)</f>
        <v>4.1650715824988263</v>
      </c>
      <c r="F318" s="140">
        <f>B313</f>
        <v>1</v>
      </c>
      <c r="G318" s="105">
        <v>0.5</v>
      </c>
    </row>
    <row r="319" spans="1:11" s="97" customFormat="1" x14ac:dyDescent="0.25">
      <c r="C319" s="7"/>
      <c r="D319" s="93"/>
      <c r="E319" s="39"/>
    </row>
    <row r="320" spans="1:11" s="97" customFormat="1" x14ac:dyDescent="0.25">
      <c r="B320" s="137" t="s">
        <v>155</v>
      </c>
      <c r="D320" s="98" t="s">
        <v>144</v>
      </c>
      <c r="E320" s="173" t="s">
        <v>144</v>
      </c>
      <c r="H320" s="93"/>
      <c r="I320" s="39"/>
      <c r="J320" s="106" t="s">
        <v>156</v>
      </c>
    </row>
    <row r="321" spans="1:10" s="97" customFormat="1" x14ac:dyDescent="0.25">
      <c r="B321" s="98" t="s">
        <v>156</v>
      </c>
      <c r="C321" s="137" t="s">
        <v>145</v>
      </c>
      <c r="D321" s="98" t="s">
        <v>32</v>
      </c>
      <c r="E321" s="173" t="s">
        <v>32</v>
      </c>
      <c r="F321" s="173" t="s">
        <v>144</v>
      </c>
      <c r="G321" s="173" t="s">
        <v>30</v>
      </c>
      <c r="H321" s="137" t="s">
        <v>145</v>
      </c>
      <c r="I321" s="137" t="s">
        <v>145</v>
      </c>
      <c r="J321" s="106" t="s">
        <v>182</v>
      </c>
    </row>
    <row r="322" spans="1:10" s="97" customFormat="1" x14ac:dyDescent="0.25">
      <c r="A322" s="129" t="s">
        <v>7</v>
      </c>
      <c r="B322" s="98" t="s">
        <v>157</v>
      </c>
      <c r="C322" s="98" t="s">
        <v>148</v>
      </c>
      <c r="D322" s="173" t="s">
        <v>177</v>
      </c>
      <c r="E322" s="173" t="s">
        <v>178</v>
      </c>
      <c r="F322" s="173" t="s">
        <v>32</v>
      </c>
      <c r="G322" s="173" t="s">
        <v>68</v>
      </c>
      <c r="H322" s="98" t="s">
        <v>147</v>
      </c>
      <c r="I322" s="98" t="s">
        <v>146</v>
      </c>
      <c r="J322" s="195" t="s">
        <v>181</v>
      </c>
    </row>
    <row r="323" spans="1:10" s="97" customFormat="1" x14ac:dyDescent="0.25">
      <c r="A323" s="97">
        <v>0</v>
      </c>
      <c r="B323" s="143">
        <f>secondsPerBlock*maximumMinerAdvantage/targetMinerPercentHashpower</f>
        <v>2.4</v>
      </c>
      <c r="C323" s="187">
        <f>(((avgHops-1+5)*minLastMileLatency) + ((avgHops-1)*proximityFavoringFactor*(Latency10thP1-minLastMileLatency)+5*(Latency90thP1-minLastMileLatency))*(1-(1-POWER(1+latencyGrowth,A323))))/1000</f>
        <v>1.4794676897311649</v>
      </c>
      <c r="D323" s="9">
        <f>(B323 - C323)*(Bandwidth90thP1*ongoingResourcePercent90thP1*POWER(1+bandwidthGrowth,A323)*mbToGB*KBperGB)/(compactBlockCompactedness+missingTransactionRate)</f>
        <v>605.61336201897041</v>
      </c>
      <c r="E323" s="9">
        <f>(B323 - C323)*avgTrSize*(Throughput90thP1*ongoingResourcePercent90thP1*POWER(1+cpuGrowth,A323))/missingTransactionRate/1000</f>
        <v>874.50569475539316</v>
      </c>
      <c r="F323" s="9">
        <f>MIN(D323,E323)</f>
        <v>605.61336201897041</v>
      </c>
      <c r="G323" s="6">
        <f>F323*1000/secondsPerBlock/avgTrSize</f>
        <v>2.1249591649788435</v>
      </c>
      <c r="H323" s="146">
        <f>F323*(missingTransactionRate+compactBlockCompactedness)/(Bandwidth90thP1*ongoingResourcePercent90thP1*POWER(1+bandwidthGrowth,A323)*mbToGB*KBperGB)</f>
        <v>0.92053231026883497</v>
      </c>
      <c r="I323" s="147">
        <f>(F323*missingTransactionRate*1000/avgTrSize)/(Throughput90thP1*ongoingResourcePercent90thP1*POWER(1+cpuGrowth,A323))</f>
        <v>0.63748774949365306</v>
      </c>
      <c r="J323" s="196">
        <f>MAX(H323,I323)+C323</f>
        <v>2.4</v>
      </c>
    </row>
    <row r="324" spans="1:10" s="97" customFormat="1" x14ac:dyDescent="0.25">
      <c r="A324" s="97">
        <v>1</v>
      </c>
      <c r="B324" s="143">
        <f>secondsPerBlock*maximumMinerAdvantage/targetMinerPercentHashpower</f>
        <v>2.4</v>
      </c>
      <c r="C324" s="187">
        <f>(((avgHops-1+5)*minLastMileLatency) + ((avgHops-1)*proximityFavoringFactor*(Latency10thP1-minLastMileLatency)+5*(Latency90thP1-minLastMileLatency))*(1-(1-POWER(1+latencyGrowth,A324))))/1000</f>
        <v>1.4387579412513545</v>
      </c>
      <c r="D324" s="9">
        <f>(B324 - C324)*(Bandwidth90thP1*ongoingResourcePercent90thP1*POWER(1+bandwidthGrowth,A324)*mbToGB*KBperGB)/(compactBlockCompactedness+missingTransactionRate)</f>
        <v>790.49511410250443</v>
      </c>
      <c r="E324" s="9">
        <f>(B324 - C324)*avgTrSize*(Throughput90thP1*ongoingResourcePercent90thP1*POWER(1+cpuGrowth,A324))/missingTransactionRate/1000</f>
        <v>1068.4205482991194</v>
      </c>
      <c r="F324" s="9">
        <f t="shared" ref="F324:F338" si="47">MIN(D324,E324)</f>
        <v>790.49511410250443</v>
      </c>
      <c r="G324" s="6">
        <f>F324*1000/secondsPerBlock/avgTrSize</f>
        <v>2.7736670670263313</v>
      </c>
      <c r="H324" s="146">
        <f>F324*(missingTransactionRate+compactBlockCompactedness)/(Bandwidth90thP1*ongoingResourcePercent90thP1*POWER(1+bandwidthGrowth,A324)*mbToGB*KBperGB)</f>
        <v>0.96124205874864532</v>
      </c>
      <c r="I324" s="147">
        <f>(F324*missingTransactionRate*1000/avgTrSize)/(Throughput90thP1*ongoingResourcePercent90thP1*POWER(1+cpuGrowth,A324))</f>
        <v>0.71119668385290558</v>
      </c>
      <c r="J324" s="196">
        <f t="shared" ref="J324:J338" si="48">MAX(H324,I324)+C324</f>
        <v>2.4</v>
      </c>
    </row>
    <row r="325" spans="1:10" s="97" customFormat="1" x14ac:dyDescent="0.25">
      <c r="A325" s="97">
        <v>2</v>
      </c>
      <c r="B325" s="143">
        <f t="shared" ref="B325:B338" si="49">secondsPerBlock*maximumMinerAdvantage/targetMinerPercentHashpower</f>
        <v>2.4</v>
      </c>
      <c r="C325" s="187">
        <f>(((avgHops-1+5)*minLastMileLatency) + ((avgHops-1)*proximityFavoringFactor*(Latency10thP1-minLastMileLatency)+5*(Latency90thP1-minLastMileLatency))*(1-(1-POWER(1+latencyGrowth,A325))))/1000</f>
        <v>1.3992694852259382</v>
      </c>
      <c r="D325" s="9">
        <f>(B325 - C325)*(Bandwidth90thP1*ongoingResourcePercent90thP1*POWER(1+bandwidthGrowth,A325)*mbToGB*KBperGB)/(compactBlockCompactedness+missingTransactionRate)</f>
        <v>1028.7114666674154</v>
      </c>
      <c r="E325" s="9">
        <f>(B325 - C325)*avgTrSize*(Throughput90thP1*ongoingResourcePercent90thP1*POWER(1+cpuGrowth,A325))/missingTransactionRate/1000</f>
        <v>1301.4050015905023</v>
      </c>
      <c r="F325" s="9">
        <f t="shared" si="47"/>
        <v>1028.7114666674154</v>
      </c>
      <c r="G325" s="6">
        <f>F325*1000/secondsPerBlock/avgTrSize</f>
        <v>3.6095139181312819</v>
      </c>
      <c r="H325" s="146">
        <f>F325*(missingTransactionRate+compactBlockCompactedness)/(Bandwidth90thP1*ongoingResourcePercent90thP1*POWER(1+bandwidthGrowth,A325)*mbToGB*KBperGB)</f>
        <v>1.0007305147740617</v>
      </c>
      <c r="I325" s="147">
        <f>(F325*missingTransactionRate*1000/avgTrSize)/(Throughput90thP1*ongoingResourcePercent90thP1*POWER(1+cpuGrowth,A325))</f>
        <v>0.79103964894395862</v>
      </c>
      <c r="J325" s="196">
        <f t="shared" si="48"/>
        <v>2.4</v>
      </c>
    </row>
    <row r="326" spans="1:10" s="97" customFormat="1" x14ac:dyDescent="0.25">
      <c r="A326" s="97">
        <v>3</v>
      </c>
      <c r="B326" s="143">
        <f t="shared" si="49"/>
        <v>2.4</v>
      </c>
      <c r="C326" s="187">
        <f>(((avgHops-1+5)*minLastMileLatency) + ((avgHops-1)*proximityFavoringFactor*(Latency10thP1-minLastMileLatency)+5*(Latency90thP1-minLastMileLatency))*(1-(1-POWER(1+latencyGrowth,A326))))/1000</f>
        <v>1.3609656828812844</v>
      </c>
      <c r="D326" s="9">
        <f>(B326 - C326)*(Bandwidth90thP1*ongoingResourcePercent90thP1*POWER(1+bandwidthGrowth,A326)*mbToGB*KBperGB)/(compactBlockCompactedness+missingTransactionRate)</f>
        <v>1335.1078293569021</v>
      </c>
      <c r="E326" s="9">
        <f>(B326 - C326)*avgTrSize*(Throughput90thP1*ongoingResourcePercent90thP1*POWER(1+cpuGrowth,A326))/missingTransactionRate/1000</f>
        <v>1580.9243262562841</v>
      </c>
      <c r="F326" s="9">
        <f t="shared" si="47"/>
        <v>1335.1078293569021</v>
      </c>
      <c r="G326" s="6">
        <f>F326*1000/secondsPerBlock/avgTrSize</f>
        <v>4.6845888749364981</v>
      </c>
      <c r="H326" s="146">
        <f>F326*(missingTransactionRate+compactBlockCompactedness)/(Bandwidth90thP1*ongoingResourcePercent90thP1*POWER(1+bandwidthGrowth,A326)*mbToGB*KBperGB)</f>
        <v>1.0390343171187155</v>
      </c>
      <c r="I326" s="147">
        <f>(F326*missingTransactionRate*1000/avgTrSize)/(Throughput90thP1*ongoingResourcePercent90thP1*POWER(1+cpuGrowth,A326))</f>
        <v>0.87747580875089659</v>
      </c>
      <c r="J326" s="196">
        <f t="shared" si="48"/>
        <v>2.4</v>
      </c>
    </row>
    <row r="327" spans="1:10" s="97" customFormat="1" x14ac:dyDescent="0.25">
      <c r="A327" s="97">
        <v>4</v>
      </c>
      <c r="B327" s="143">
        <f t="shared" si="49"/>
        <v>2.4</v>
      </c>
      <c r="C327" s="187">
        <f>(((avgHops-1+5)*minLastMileLatency) + ((avgHops-1)*proximityFavoringFactor*(Latency10thP1-minLastMileLatency)+5*(Latency90thP1-minLastMileLatency))*(1-(1-POWER(1+latencyGrowth,A327))))/1000</f>
        <v>1.3238109946069705</v>
      </c>
      <c r="D327" s="9">
        <f>(B327 - C327)*(Bandwidth90thP1*ongoingResourcePercent90thP1*POWER(1+bandwidthGrowth,A327)*mbToGB*KBperGB)/(compactBlockCompactedness+missingTransactionRate)</f>
        <v>1728.5622131235696</v>
      </c>
      <c r="E327" s="9">
        <f>(B327 - C327)*avgTrSize*(Throughput90thP1*ongoingResourcePercent90thP1*POWER(1+cpuGrowth,A327))/missingTransactionRate/1000</f>
        <v>1915.8239721111872</v>
      </c>
      <c r="F327" s="9">
        <f t="shared" si="47"/>
        <v>1728.5622131235696</v>
      </c>
      <c r="G327" s="6">
        <f>F327*1000/secondsPerBlock/avgTrSize</f>
        <v>6.0651305723634019</v>
      </c>
      <c r="H327" s="146">
        <f>F327*(missingTransactionRate+compactBlockCompactedness)/(Bandwidth90thP1*ongoingResourcePercent90thP1*POWER(1+bandwidthGrowth,A327)*mbToGB*KBperGB)</f>
        <v>1.0761890053930294</v>
      </c>
      <c r="I327" s="147">
        <f>(F327*missingTransactionRate*1000/avgTrSize)/(Throughput90thP1*ongoingResourcePercent90thP1*POWER(1+cpuGrowth,A327))</f>
        <v>0.97099716674464143</v>
      </c>
      <c r="J327" s="196">
        <f t="shared" si="48"/>
        <v>2.4</v>
      </c>
    </row>
    <row r="328" spans="1:10" s="97" customFormat="1" x14ac:dyDescent="0.25">
      <c r="A328" s="97">
        <v>5</v>
      </c>
      <c r="B328" s="143">
        <f t="shared" si="49"/>
        <v>2.4</v>
      </c>
      <c r="C328" s="187">
        <f>(((avgHops-1+5)*minLastMileLatency) + ((avgHops-1)*proximityFavoringFactor*(Latency10thP1-minLastMileLatency)+5*(Latency90thP1-minLastMileLatency))*(1-(1-POWER(1+latencyGrowth,A328))))/1000</f>
        <v>1.2877709469808858</v>
      </c>
      <c r="D328" s="9">
        <f>(B328 - C328)*(Bandwidth90thP1*ongoingResourcePercent90thP1*POWER(1+bandwidthGrowth,A328)*mbToGB*KBperGB)/(compactBlockCompactedness+missingTransactionRate)</f>
        <v>2233.061645947736</v>
      </c>
      <c r="E328" s="9">
        <f>(B328 - C328)*avgTrSize*(Throughput90thP1*ongoingResourcePercent90thP1*POWER(1+cpuGrowth,A328))/missingTransactionRate/1000</f>
        <v>2316.5791824132161</v>
      </c>
      <c r="F328" s="9">
        <f t="shared" si="47"/>
        <v>2233.061645947736</v>
      </c>
      <c r="G328" s="6">
        <f>F328*1000/secondsPerBlock/avgTrSize</f>
        <v>7.8353040208692493</v>
      </c>
      <c r="H328" s="146">
        <f>F328*(missingTransactionRate+compactBlockCompactedness)/(Bandwidth90thP1*ongoingResourcePercent90thP1*POWER(1+bandwidthGrowth,A328)*mbToGB*KBperGB)</f>
        <v>1.1122290530191141</v>
      </c>
      <c r="I328" s="147">
        <f>(F328*missingTransactionRate*1000/avgTrSize)/(Throughput90thP1*ongoingResourcePercent90thP1*POWER(1+cpuGrowth,A328))</f>
        <v>1.0721308637585492</v>
      </c>
      <c r="J328" s="196">
        <f t="shared" si="48"/>
        <v>2.4</v>
      </c>
    </row>
    <row r="329" spans="1:10" s="97" customFormat="1" x14ac:dyDescent="0.25">
      <c r="A329" s="97">
        <v>6</v>
      </c>
      <c r="B329" s="143">
        <f t="shared" si="49"/>
        <v>2.4</v>
      </c>
      <c r="C329" s="187">
        <f>(((avgHops-1+5)*minLastMileLatency) + ((avgHops-1)*proximityFavoringFactor*(Latency10thP1-minLastMileLatency)+5*(Latency90thP1-minLastMileLatency))*(1-(1-POWER(1+latencyGrowth,A329))))/1000</f>
        <v>1.2528121007835837</v>
      </c>
      <c r="D329" s="9">
        <f>(B329 - C329)*(Bandwidth90thP1*ongoingResourcePercent90thP1*POWER(1+bandwidthGrowth,A329)*mbToGB*KBperGB)/(compactBlockCompactedness+missingTransactionRate)</f>
        <v>2879.0621988808889</v>
      </c>
      <c r="E329" s="9">
        <f>(B329 - C329)*avgTrSize*(Throughput90thP1*ongoingResourcePercent90thP1*POWER(1+cpuGrowth,A329))/missingTransactionRate/1000</f>
        <v>2795.5890651839063</v>
      </c>
      <c r="F329" s="9">
        <f t="shared" si="47"/>
        <v>2795.5890651839063</v>
      </c>
      <c r="G329" s="6">
        <f>F329*1000/secondsPerBlock/avgTrSize</f>
        <v>9.8090844392417758</v>
      </c>
      <c r="H329" s="146">
        <f>F329*(missingTransactionRate+compactBlockCompactedness)/(Bandwidth90thP1*ongoingResourcePercent90thP1*POWER(1+bandwidthGrowth,A329)*mbToGB*KBperGB)</f>
        <v>1.1139272878534263</v>
      </c>
      <c r="I329" s="147">
        <f>(F329*missingTransactionRate*1000/avgTrSize)/(Throughput90thP1*ongoingResourcePercent90thP1*POWER(1+cpuGrowth,A329))</f>
        <v>1.147187899216416</v>
      </c>
      <c r="J329" s="196">
        <f t="shared" si="48"/>
        <v>2.3999999999999995</v>
      </c>
    </row>
    <row r="330" spans="1:10" s="97" customFormat="1" x14ac:dyDescent="0.25">
      <c r="A330" s="97">
        <v>7</v>
      </c>
      <c r="B330" s="143">
        <f t="shared" si="49"/>
        <v>2.4</v>
      </c>
      <c r="C330" s="187">
        <f>(((avgHops-1+5)*minLastMileLatency) + ((avgHops-1)*proximityFavoringFactor*(Latency10thP1-minLastMileLatency)+5*(Latency90thP1-minLastMileLatency))*(1-(1-POWER(1+latencyGrowth,A330))))/1000</f>
        <v>1.2189020199722007</v>
      </c>
      <c r="D330" s="9">
        <f>(B330 - C330)*(Bandwidth90thP1*ongoingResourcePercent90thP1*POWER(1+bandwidthGrowth,A330)*mbToGB*KBperGB)/(compactBlockCompactedness+missingTransactionRate)</f>
        <v>3705.2066076046517</v>
      </c>
      <c r="E330" s="9">
        <f>(B330 - C330)*avgTrSize*(Throughput90thP1*ongoingResourcePercent90thP1*POWER(1+cpuGrowth,A330))/missingTransactionRate/1000</f>
        <v>3367.5229508210982</v>
      </c>
      <c r="F330" s="9">
        <f t="shared" si="47"/>
        <v>3367.5229508210982</v>
      </c>
      <c r="G330" s="6">
        <f>F330*1000/secondsPerBlock/avgTrSize</f>
        <v>11.815870002881047</v>
      </c>
      <c r="H330" s="146">
        <f>F330*(missingTransactionRate+compactBlockCompactedness)/(Bandwidth90thP1*ongoingResourcePercent90thP1*POWER(1+bandwidthGrowth,A330)*mbToGB*KBperGB)</f>
        <v>1.0734555386867759</v>
      </c>
      <c r="I330" s="147">
        <f>(F330*missingTransactionRate*1000/avgTrSize)/(Throughput90thP1*ongoingResourcePercent90thP1*POWER(1+cpuGrowth,A330))</f>
        <v>1.1810979800277992</v>
      </c>
      <c r="J330" s="196">
        <f t="shared" si="48"/>
        <v>2.4</v>
      </c>
    </row>
    <row r="331" spans="1:10" s="97" customFormat="1" x14ac:dyDescent="0.25">
      <c r="A331" s="97">
        <v>8</v>
      </c>
      <c r="B331" s="143">
        <f t="shared" si="49"/>
        <v>2.4</v>
      </c>
      <c r="C331" s="187">
        <f>(((avgHops-1+5)*minLastMileLatency) + ((avgHops-1)*proximityFavoringFactor*(Latency10thP1-minLastMileLatency)+5*(Latency90thP1-minLastMileLatency))*(1-(1-POWER(1+latencyGrowth,A331))))/1000</f>
        <v>1.1860092415851591</v>
      </c>
      <c r="D331" s="9">
        <f>(B331 - C331)*(Bandwidth90thP1*ongoingResourcePercent90thP1*POWER(1+bandwidthGrowth,A331)*mbToGB*KBperGB)/(compactBlockCompactedness+missingTransactionRate)</f>
        <v>4760.4926260476086</v>
      </c>
      <c r="E331" s="9">
        <f>(B331 - C331)*avgTrSize*(Throughput90thP1*ongoingResourcePercent90thP1*POWER(1+cpuGrowth,A331))/missingTransactionRate/1000</f>
        <v>4049.7282341572077</v>
      </c>
      <c r="F331" s="9">
        <f t="shared" si="47"/>
        <v>4049.7282341572077</v>
      </c>
      <c r="G331" s="6">
        <f>F331*1000/secondsPerBlock/avgTrSize</f>
        <v>14.2095727514288</v>
      </c>
      <c r="H331" s="146">
        <f>F331*(missingTransactionRate+compactBlockCompactedness)/(Bandwidth90thP1*ongoingResourcePercent90thP1*POWER(1+bandwidthGrowth,A331)*mbToGB*KBperGB)</f>
        <v>1.0327361129514616</v>
      </c>
      <c r="I331" s="147">
        <f>(F331*missingTransactionRate*1000/avgTrSize)/(Throughput90thP1*ongoingResourcePercent90thP1*POWER(1+cpuGrowth,A331))</f>
        <v>1.2139907584148408</v>
      </c>
      <c r="J331" s="196">
        <f t="shared" si="48"/>
        <v>2.4</v>
      </c>
    </row>
    <row r="332" spans="1:10" s="97" customFormat="1" x14ac:dyDescent="0.25">
      <c r="A332" s="97">
        <v>9</v>
      </c>
      <c r="B332" s="143">
        <f t="shared" si="49"/>
        <v>2.4</v>
      </c>
      <c r="C332" s="187">
        <f>(((avgHops-1+5)*minLastMileLatency) + ((avgHops-1)*proximityFavoringFactor*(Latency10thP1-minLastMileLatency)+5*(Latency90thP1-minLastMileLatency))*(1-(1-POWER(1+latencyGrowth,A332))))/1000</f>
        <v>1.1541032465497287</v>
      </c>
      <c r="D332" s="9">
        <f>(B332 - C332)*(Bandwidth90thP1*ongoingResourcePercent90thP1*POWER(1+bandwidthGrowth,A332)*mbToGB*KBperGB)/(compactBlockCompactedness+missingTransactionRate)</f>
        <v>6107.009326991435</v>
      </c>
      <c r="E332" s="9">
        <f>(B332 - C332)*avgTrSize*(Throughput90thP1*ongoingResourcePercent90thP1*POWER(1+cpuGrowth,A332))/missingTransactionRate/1000</f>
        <v>4862.7105045513163</v>
      </c>
      <c r="F332" s="9">
        <f t="shared" si="47"/>
        <v>4862.7105045513163</v>
      </c>
      <c r="G332" s="6">
        <f>F332*1000/secondsPerBlock/avgTrSize</f>
        <v>17.062142121232689</v>
      </c>
      <c r="H332" s="146">
        <f>F332*(missingTransactionRate+compactBlockCompactedness)/(Bandwidth90thP1*ongoingResourcePercent90thP1*POWER(1+bandwidthGrowth,A332)*mbToGB*KBperGB)</f>
        <v>0.99204617288076924</v>
      </c>
      <c r="I332" s="147">
        <f>(F332*missingTransactionRate*1000/avgTrSize)/(Throughput90thP1*ongoingResourcePercent90thP1*POWER(1+cpuGrowth,A332))</f>
        <v>1.2458967534502712</v>
      </c>
      <c r="J332" s="196">
        <f t="shared" si="48"/>
        <v>2.4</v>
      </c>
    </row>
    <row r="333" spans="1:10" s="97" customFormat="1" x14ac:dyDescent="0.25">
      <c r="A333" s="97">
        <v>10</v>
      </c>
      <c r="B333" s="143">
        <f t="shared" si="49"/>
        <v>2.4</v>
      </c>
      <c r="C333" s="187">
        <f>(((avgHops-1+5)*minLastMileLatency) + ((avgHops-1)*proximityFavoringFactor*(Latency10thP1-minLastMileLatency)+5*(Latency90thP1-minLastMileLatency))*(1-(1-POWER(1+latencyGrowth,A333))))/1000</f>
        <v>1.1231544313653614</v>
      </c>
      <c r="D333" s="9">
        <f>(B333 - C333)*(Bandwidth90thP1*ongoingResourcePercent90thP1*POWER(1+bandwidthGrowth,A333)*mbToGB*KBperGB)/(compactBlockCompactedness+missingTransactionRate)</f>
        <v>7823.3888313630014</v>
      </c>
      <c r="E333" s="9">
        <f>(B333 - C333)*avgTrSize*(Throughput90thP1*ongoingResourcePercent90thP1*POWER(1+cpuGrowth,A333))/missingTransactionRate/1000</f>
        <v>5830.6986515946619</v>
      </c>
      <c r="F333" s="9">
        <f t="shared" si="47"/>
        <v>5830.6986515946619</v>
      </c>
      <c r="G333" s="6">
        <f>F333*1000/secondsPerBlock/avgTrSize</f>
        <v>20.458591759981271</v>
      </c>
      <c r="H333" s="146">
        <f>F333*(missingTransactionRate+compactBlockCompactedness)/(Bandwidth90thP1*ongoingResourcePercent90thP1*POWER(1+bandwidthGrowth,A333)*mbToGB*KBperGB)</f>
        <v>0.95162108081435415</v>
      </c>
      <c r="I333" s="147">
        <f>(F333*missingTransactionRate*1000/avgTrSize)/(Throughput90thP1*ongoingResourcePercent90thP1*POWER(1+cpuGrowth,A333))</f>
        <v>1.2768455686346385</v>
      </c>
      <c r="J333" s="196">
        <f t="shared" si="48"/>
        <v>2.4</v>
      </c>
    </row>
    <row r="334" spans="1:10" s="97" customFormat="1" x14ac:dyDescent="0.25">
      <c r="A334" s="97">
        <v>11</v>
      </c>
      <c r="B334" s="143">
        <f t="shared" si="49"/>
        <v>2.4</v>
      </c>
      <c r="C334" s="187">
        <f>(((avgHops-1+5)*minLastMileLatency) + ((avgHops-1)*proximityFavoringFactor*(Latency10thP1-minLastMileLatency)+5*(Latency90thP1-minLastMileLatency))*(1-(1-POWER(1+latencyGrowth,A334))))/1000</f>
        <v>1.0931340806365248</v>
      </c>
      <c r="D334" s="9">
        <f>(B334 - C334)*(Bandwidth90thP1*ongoingResourcePercent90thP1*POWER(1+bandwidthGrowth,A334)*mbToGB*KBperGB)/(compactBlockCompactedness+missingTransactionRate)</f>
        <v>10009.158986009999</v>
      </c>
      <c r="E334" s="9">
        <f>(B334 - C334)*avgTrSize*(Throughput90thP1*ongoingResourcePercent90thP1*POWER(1+cpuGrowth,A334))/missingTransactionRate/1000</f>
        <v>6982.309844670649</v>
      </c>
      <c r="F334" s="9">
        <f t="shared" si="47"/>
        <v>6982.309844670649</v>
      </c>
      <c r="G334" s="6">
        <f>F334*1000/secondsPerBlock/avgTrSize</f>
        <v>24.499332788318064</v>
      </c>
      <c r="H334" s="146">
        <f>F334*(missingTransactionRate+compactBlockCompactedness)/(Bandwidth90thP1*ongoingResourcePercent90thP1*POWER(1+bandwidthGrowth,A334)*mbToGB*KBperGB)</f>
        <v>0.91165928997533807</v>
      </c>
      <c r="I334" s="147">
        <f>(F334*missingTransactionRate*1000/avgTrSize)/(Throughput90thP1*ongoingResourcePercent90thP1*POWER(1+cpuGrowth,A334))</f>
        <v>1.3068659193634753</v>
      </c>
      <c r="J334" s="196">
        <f t="shared" si="48"/>
        <v>2.4000000000000004</v>
      </c>
    </row>
    <row r="335" spans="1:10" s="97" customFormat="1" x14ac:dyDescent="0.25">
      <c r="A335" s="97">
        <v>12</v>
      </c>
      <c r="B335" s="143">
        <f t="shared" si="49"/>
        <v>2.4</v>
      </c>
      <c r="C335" s="187">
        <f>(((avgHops-1+5)*minLastMileLatency) + ((avgHops-1)*proximityFavoringFactor*(Latency10thP1-minLastMileLatency)+5*(Latency90thP1-minLastMileLatency))*(1-(1-POWER(1+latencyGrowth,A335))))/1000</f>
        <v>1.0640143404295537</v>
      </c>
      <c r="D335" s="9">
        <f>(B335 - C335)*(Bandwidth90thP1*ongoingResourcePercent90thP1*POWER(1+bandwidthGrowth,A335)*mbToGB*KBperGB)/(compactBlockCompactedness+missingTransactionRate)</f>
        <v>12790.230305515071</v>
      </c>
      <c r="E335" s="9">
        <f>(B335 - C335)*avgTrSize*(Throughput90thP1*ongoingResourcePercent90thP1*POWER(1+cpuGrowth,A335))/missingTransactionRate/1000</f>
        <v>8351.3318783384802</v>
      </c>
      <c r="F335" s="9">
        <f t="shared" si="47"/>
        <v>8351.3318783384802</v>
      </c>
      <c r="G335" s="6">
        <f>F335*1000/secondsPerBlock/avgTrSize</f>
        <v>29.302918871363087</v>
      </c>
      <c r="H335" s="146">
        <f>F335*(missingTransactionRate+compactBlockCompactedness)/(Bandwidth90thP1*ongoingResourcePercent90thP1*POWER(1+bandwidthGrowth,A335)*mbToGB*KBperGB)</f>
        <v>0.87232671822670638</v>
      </c>
      <c r="I335" s="147">
        <f>(F335*missingTransactionRate*1000/avgTrSize)/(Throughput90thP1*ongoingResourcePercent90thP1*POWER(1+cpuGrowth,A335))</f>
        <v>1.3359856595704462</v>
      </c>
      <c r="J335" s="196">
        <f t="shared" si="48"/>
        <v>2.4</v>
      </c>
    </row>
    <row r="336" spans="1:10" s="97" customFormat="1" x14ac:dyDescent="0.25">
      <c r="A336" s="97">
        <v>13</v>
      </c>
      <c r="B336" s="143">
        <f t="shared" si="49"/>
        <v>2.4</v>
      </c>
      <c r="C336" s="187">
        <f>(((avgHops-1+5)*minLastMileLatency) + ((avgHops-1)*proximityFavoringFactor*(Latency10thP1-minLastMileLatency)+5*(Latency90thP1-minLastMileLatency))*(1-(1-POWER(1+latencyGrowth,A336))))/1000</f>
        <v>1.0357681924287916</v>
      </c>
      <c r="D336" s="9">
        <f>(B336 - C336)*(Bandwidth90thP1*ongoingResourcePercent90thP1*POWER(1+bandwidthGrowth,A336)*mbToGB*KBperGB)/(compactBlockCompactedness+missingTransactionRate)</f>
        <v>16325.81053915946</v>
      </c>
      <c r="E336" s="9">
        <f>(B336 - C336)*avgTrSize*(Throughput90thP1*ongoingResourcePercent90thP1*POWER(1+cpuGrowth,A336))/missingTransactionRate/1000</f>
        <v>9977.6434184038044</v>
      </c>
      <c r="F336" s="9">
        <f t="shared" si="47"/>
        <v>9977.6434184038044</v>
      </c>
      <c r="G336" s="6">
        <f>F336*1000/secondsPerBlock/avgTrSize</f>
        <v>35.009275152294045</v>
      </c>
      <c r="H336" s="146">
        <f>F336*(missingTransactionRate+compactBlockCompactedness)/(Bandwidth90thP1*ongoingResourcePercent90thP1*POWER(1+bandwidthGrowth,A336)*mbToGB*KBperGB)</f>
        <v>0.8337606566816621</v>
      </c>
      <c r="I336" s="147">
        <f>(F336*missingTransactionRate*1000/avgTrSize)/(Throughput90thP1*ongoingResourcePercent90thP1*POWER(1+cpuGrowth,A336))</f>
        <v>1.3642318075712083</v>
      </c>
      <c r="J336" s="196">
        <f t="shared" si="48"/>
        <v>2.4</v>
      </c>
    </row>
    <row r="337" spans="1:10" s="97" customFormat="1" x14ac:dyDescent="0.25">
      <c r="A337" s="97">
        <v>14</v>
      </c>
      <c r="B337" s="143">
        <f t="shared" si="49"/>
        <v>2.4</v>
      </c>
      <c r="C337" s="187">
        <f>(((avgHops-1+5)*minLastMileLatency) + ((avgHops-1)*proximityFavoringFactor*(Latency10thP1-minLastMileLatency)+5*(Latency90thP1-minLastMileLatency))*(1-(1-POWER(1+latencyGrowth,A337))))/1000</f>
        <v>1.008369428868052</v>
      </c>
      <c r="D337" s="9">
        <f>(B337 - C337)*(Bandwidth90thP1*ongoingResourcePercent90thP1*POWER(1+bandwidthGrowth,A337)*mbToGB*KBperGB)/(compactBlockCompactedness+missingTransactionRate)</f>
        <v>20817.115645883892</v>
      </c>
      <c r="E337" s="9">
        <f>(B337 - C337)*avgTrSize*(Throughput90thP1*ongoingResourcePercent90thP1*POWER(1+cpuGrowth,A337))/missingTransactionRate/1000</f>
        <v>11908.296253069115</v>
      </c>
      <c r="F337" s="9">
        <f t="shared" si="47"/>
        <v>11908.296253069115</v>
      </c>
      <c r="G337" s="6">
        <f>F337*1000/secondsPerBlock/avgTrSize</f>
        <v>41.783495624803912</v>
      </c>
      <c r="H337" s="146">
        <f>F337*(missingTransactionRate+compactBlockCompactedness)/(Bandwidth90thP1*ongoingResourcePercent90thP1*POWER(1+bandwidthGrowth,A337)*mbToGB*KBperGB)</f>
        <v>0.7960732599928525</v>
      </c>
      <c r="I337" s="147">
        <f>(F337*missingTransactionRate*1000/avgTrSize)/(Throughput90thP1*ongoingResourcePercent90thP1*POWER(1+cpuGrowth,A337))</f>
        <v>1.3916305711319481</v>
      </c>
      <c r="J337" s="196">
        <f t="shared" si="48"/>
        <v>2.4000000000000004</v>
      </c>
    </row>
    <row r="338" spans="1:10" s="97" customFormat="1" x14ac:dyDescent="0.25">
      <c r="A338" s="97">
        <v>15</v>
      </c>
      <c r="B338" s="143">
        <f t="shared" si="49"/>
        <v>2.4</v>
      </c>
      <c r="C338" s="187">
        <f>(((avgHops-1+5)*minLastMileLatency) + ((avgHops-1)*proximityFavoringFactor*(Latency10thP1-minLastMileLatency)+5*(Latency90thP1-minLastMileLatency))*(1-(1-POWER(1+latencyGrowth,A338))))/1000</f>
        <v>0.98179262821413504</v>
      </c>
      <c r="D338" s="9">
        <f>(B338 - C338)*(Bandwidth90thP1*ongoingResourcePercent90thP1*POWER(1+bandwidthGrowth,A338)*mbToGB*KBperGB)/(compactBlockCompactedness+missingTransactionRate)</f>
        <v>26518.340679575525</v>
      </c>
      <c r="E338" s="9">
        <f>(B338 - C338)*avgTrSize*(Throughput90thP1*ongoingResourcePercent90thP1*POWER(1+cpuGrowth,A338))/missingTransactionRate/1000</f>
        <v>14198.787840509616</v>
      </c>
      <c r="F338" s="9">
        <f t="shared" si="47"/>
        <v>14198.787840509616</v>
      </c>
      <c r="G338" s="6">
        <f>F338*1000/secondsPerBlock/avgTrSize</f>
        <v>49.820308212314444</v>
      </c>
      <c r="H338" s="146">
        <f>F338*(missingTransactionRate+compactBlockCompactedness)/(Bandwidth90thP1*ongoingResourcePercent90thP1*POWER(1+bandwidthGrowth,A338)*mbToGB*KBperGB)</f>
        <v>0.75935466057812795</v>
      </c>
      <c r="I338" s="147">
        <f>(F338*missingTransactionRate*1000/avgTrSize)/(Throughput90thP1*ongoingResourcePercent90thP1*POWER(1+cpuGrowth,A338))</f>
        <v>1.4182073717858652</v>
      </c>
      <c r="J338" s="196">
        <f t="shared" si="48"/>
        <v>2.4000000000000004</v>
      </c>
    </row>
    <row r="339" spans="1:10" s="97" customFormat="1" x14ac:dyDescent="0.25">
      <c r="B339" s="143"/>
      <c r="C339" s="9"/>
      <c r="D339" s="147"/>
      <c r="E339" s="146"/>
      <c r="F339" s="146"/>
      <c r="G339" s="148"/>
    </row>
    <row r="340" spans="1:10" s="97" customFormat="1" x14ac:dyDescent="0.25">
      <c r="A340"/>
      <c r="B340" s="157"/>
      <c r="C340" s="158" t="s">
        <v>154</v>
      </c>
      <c r="D340" s="98"/>
      <c r="E340" s="157"/>
      <c r="F340" s="165"/>
      <c r="G340" s="158" t="s">
        <v>145</v>
      </c>
      <c r="H340" s="98"/>
      <c r="I340" s="157"/>
      <c r="J340" s="167" t="s">
        <v>145</v>
      </c>
    </row>
    <row r="341" spans="1:10" s="97" customFormat="1" x14ac:dyDescent="0.25">
      <c r="A341"/>
      <c r="B341" s="159" t="s">
        <v>134</v>
      </c>
      <c r="C341" s="160" t="s">
        <v>134</v>
      </c>
      <c r="D341" s="98"/>
      <c r="E341" s="159" t="s">
        <v>32</v>
      </c>
      <c r="F341" s="166" t="s">
        <v>101</v>
      </c>
      <c r="G341" s="160" t="s">
        <v>146</v>
      </c>
      <c r="H341" s="98"/>
      <c r="I341" s="159" t="s">
        <v>32</v>
      </c>
      <c r="J341" s="160" t="s">
        <v>147</v>
      </c>
    </row>
    <row r="342" spans="1:10" s="97" customFormat="1" x14ac:dyDescent="0.25">
      <c r="A342"/>
      <c r="B342" s="161">
        <v>40</v>
      </c>
      <c r="C342" s="162">
        <f>(avgHops-1+3)*B342/1000</f>
        <v>0.24660286329995304</v>
      </c>
      <c r="D342"/>
      <c r="E342" s="168">
        <v>2000</v>
      </c>
      <c r="F342" s="170">
        <v>1000</v>
      </c>
      <c r="G342" s="162">
        <f>(E342*missingTransactionRate*1000/avgTrSize)/(F342*ongoingResourcePercent90thP1)</f>
        <v>0.4210526315789474</v>
      </c>
      <c r="H342"/>
      <c r="I342" s="168">
        <v>1000</v>
      </c>
      <c r="J342" s="162">
        <f>I342*(missingTransactionRate+compactBlockCompactedness)/(avgRelayBandwidth*0.1*mbToGB*KBperGB)</f>
        <v>1.52</v>
      </c>
    </row>
    <row r="343" spans="1:10" s="97" customFormat="1" x14ac:dyDescent="0.25">
      <c r="A343"/>
      <c r="B343" s="161">
        <v>50</v>
      </c>
      <c r="C343" s="162">
        <f>(avgHops-1+3)*B343/1000</f>
        <v>0.30825357912494133</v>
      </c>
      <c r="D343"/>
      <c r="E343" s="168">
        <v>2000</v>
      </c>
      <c r="F343" s="170">
        <v>2000</v>
      </c>
      <c r="G343" s="162">
        <f>(E343*missingTransactionRate*1000/avgTrSize)/(F343*ongoingResourcePercent90thP1)</f>
        <v>0.2105263157894737</v>
      </c>
      <c r="H343"/>
      <c r="I343" s="168">
        <v>2000</v>
      </c>
      <c r="J343" s="162">
        <f>I343*(missingTransactionRate+compactBlockCompactedness)/(avgRelayBandwidth*0.1*mbToGB*KBperGB)</f>
        <v>3.04</v>
      </c>
    </row>
    <row r="344" spans="1:10" s="97" customFormat="1" x14ac:dyDescent="0.25">
      <c r="A344"/>
      <c r="B344" s="161">
        <v>60</v>
      </c>
      <c r="C344" s="162">
        <f>(avgHops-1+3)*B344/1000</f>
        <v>0.3699042949499296</v>
      </c>
      <c r="D344"/>
      <c r="E344" s="168">
        <v>2000</v>
      </c>
      <c r="F344" s="170">
        <v>3000</v>
      </c>
      <c r="G344" s="162">
        <f>(E344*missingTransactionRate*1000/avgTrSize)/(F344*ongoingResourcePercent90thP1)</f>
        <v>0.14035087719298248</v>
      </c>
      <c r="H344"/>
      <c r="I344" s="168">
        <v>3000</v>
      </c>
      <c r="J344" s="162">
        <f>I344*(missingTransactionRate+compactBlockCompactedness)/(avgRelayBandwidth*0.1*mbToGB*KBperGB)</f>
        <v>4.5599999999999996</v>
      </c>
    </row>
    <row r="345" spans="1:10" s="97" customFormat="1" x14ac:dyDescent="0.25">
      <c r="A345"/>
      <c r="B345" s="161">
        <v>70</v>
      </c>
      <c r="C345" s="162">
        <f>(avgHops-1+3)*B345/1000</f>
        <v>0.43155501077491781</v>
      </c>
      <c r="D345"/>
      <c r="E345" s="168">
        <v>2000</v>
      </c>
      <c r="F345" s="170">
        <v>4000</v>
      </c>
      <c r="G345" s="162">
        <f>(E345*missingTransactionRate*1000/avgTrSize)/(F345*ongoingResourcePercent90thP1)</f>
        <v>0.10526315789473685</v>
      </c>
      <c r="H345"/>
      <c r="I345" s="168">
        <v>4000</v>
      </c>
      <c r="J345" s="162">
        <f>I345*(missingTransactionRate+compactBlockCompactedness)/(avgRelayBandwidth*0.1*mbToGB*KBperGB)</f>
        <v>6.08</v>
      </c>
    </row>
    <row r="346" spans="1:10" s="97" customFormat="1" x14ac:dyDescent="0.25">
      <c r="A346"/>
      <c r="B346" s="161">
        <v>80</v>
      </c>
      <c r="C346" s="162">
        <f>(avgHops-1+3)*B346/1000</f>
        <v>0.49320572659990608</v>
      </c>
      <c r="D346"/>
      <c r="E346" s="168">
        <v>2000</v>
      </c>
      <c r="F346" s="170">
        <v>5000</v>
      </c>
      <c r="G346" s="162">
        <f>(E346*missingTransactionRate*1000/avgTrSize)/(F346*ongoingResourcePercent90thP1)</f>
        <v>8.4210526315789486E-2</v>
      </c>
      <c r="H346"/>
      <c r="I346" s="168">
        <v>5000</v>
      </c>
      <c r="J346" s="162">
        <f>I346*(missingTransactionRate+compactBlockCompactedness)/(avgRelayBandwidth*0.1*mbToGB*KBperGB)</f>
        <v>7.6</v>
      </c>
    </row>
    <row r="347" spans="1:10" s="97" customFormat="1" x14ac:dyDescent="0.25">
      <c r="A347"/>
      <c r="B347" s="161">
        <v>90</v>
      </c>
      <c r="C347" s="162">
        <f>(avgHops-1+3)*B347/1000</f>
        <v>0.55485644242489429</v>
      </c>
      <c r="D347"/>
      <c r="E347" s="168">
        <v>2000</v>
      </c>
      <c r="F347" s="170">
        <v>6000</v>
      </c>
      <c r="G347" s="162">
        <f>(E347*missingTransactionRate*1000/avgTrSize)/(F347*ongoingResourcePercent90thP1)</f>
        <v>7.0175438596491238E-2</v>
      </c>
      <c r="H347"/>
      <c r="I347" s="168">
        <v>6000</v>
      </c>
      <c r="J347" s="162">
        <f>I347*(missingTransactionRate+compactBlockCompactedness)/(avgRelayBandwidth*0.1*mbToGB*KBperGB)</f>
        <v>9.1199999999999992</v>
      </c>
    </row>
    <row r="348" spans="1:10" s="97" customFormat="1" x14ac:dyDescent="0.25">
      <c r="A348"/>
      <c r="B348" s="161">
        <v>100</v>
      </c>
      <c r="C348" s="162">
        <f>(avgHops-1+3)*B348/1000</f>
        <v>0.61650715824988267</v>
      </c>
      <c r="D348"/>
      <c r="E348" s="168">
        <v>2000</v>
      </c>
      <c r="F348" s="170">
        <v>7000</v>
      </c>
      <c r="G348" s="162">
        <f>(E348*missingTransactionRate*1000/avgTrSize)/(F348*ongoingResourcePercent90thP1)</f>
        <v>6.0150375939849628E-2</v>
      </c>
      <c r="H348"/>
      <c r="I348" s="168">
        <v>7000</v>
      </c>
      <c r="J348" s="162">
        <f>I348*(missingTransactionRate+compactBlockCompactedness)/(avgRelayBandwidth*0.1*mbToGB*KBperGB)</f>
        <v>10.64</v>
      </c>
    </row>
    <row r="349" spans="1:10" s="97" customFormat="1" x14ac:dyDescent="0.25">
      <c r="A349"/>
      <c r="B349" s="161">
        <v>110</v>
      </c>
      <c r="C349" s="162">
        <f>(avgHops-1+3)*B349/1000</f>
        <v>0.67815787407487083</v>
      </c>
      <c r="D349"/>
      <c r="E349" s="168">
        <v>2000</v>
      </c>
      <c r="F349" s="170">
        <v>8000</v>
      </c>
      <c r="G349" s="162">
        <f>(E349*missingTransactionRate*1000/avgTrSize)/(F349*ongoingResourcePercent90thP1)</f>
        <v>5.2631578947368425E-2</v>
      </c>
      <c r="H349"/>
      <c r="I349" s="168">
        <v>8000</v>
      </c>
      <c r="J349" s="162">
        <f>I349*(missingTransactionRate+compactBlockCompactedness)/(avgRelayBandwidth*0.1*mbToGB*KBperGB)</f>
        <v>12.16</v>
      </c>
    </row>
    <row r="350" spans="1:10" s="97" customFormat="1" x14ac:dyDescent="0.25">
      <c r="A350"/>
      <c r="B350" s="161">
        <v>120</v>
      </c>
      <c r="C350" s="162">
        <f>(avgHops-1+3)*B350/1000</f>
        <v>0.7398085898998592</v>
      </c>
      <c r="D350"/>
      <c r="E350" s="168">
        <v>2000</v>
      </c>
      <c r="F350" s="170">
        <v>9000</v>
      </c>
      <c r="G350" s="162">
        <f>(E350*missingTransactionRate*1000/avgTrSize)/(F350*ongoingResourcePercent90thP1)</f>
        <v>4.6783625730994156E-2</v>
      </c>
      <c r="H350"/>
      <c r="I350" s="168">
        <v>9000</v>
      </c>
      <c r="J350" s="162">
        <f>I350*(missingTransactionRate+compactBlockCompactedness)/(avgRelayBandwidth*0.1*mbToGB*KBperGB)</f>
        <v>13.68</v>
      </c>
    </row>
    <row r="351" spans="1:10" s="97" customFormat="1" x14ac:dyDescent="0.25">
      <c r="A351"/>
      <c r="B351" s="161">
        <v>130</v>
      </c>
      <c r="C351" s="162">
        <f>(avgHops-1+3)*B351/1000</f>
        <v>0.80145930572484747</v>
      </c>
      <c r="D351"/>
      <c r="E351" s="168">
        <v>2000</v>
      </c>
      <c r="F351" s="170">
        <v>10000</v>
      </c>
      <c r="G351" s="162">
        <f>(E351*missingTransactionRate*1000/avgTrSize)/(F351*ongoingResourcePercent90thP1)</f>
        <v>4.2105263157894743E-2</v>
      </c>
      <c r="H351"/>
      <c r="I351" s="168">
        <v>10000</v>
      </c>
      <c r="J351" s="162">
        <f>I351*(missingTransactionRate+compactBlockCompactedness)/(avgRelayBandwidth*0.1*mbToGB*KBperGB)</f>
        <v>15.2</v>
      </c>
    </row>
    <row r="352" spans="1:10" s="97" customFormat="1" x14ac:dyDescent="0.25">
      <c r="A352"/>
      <c r="B352" s="163">
        <v>140</v>
      </c>
      <c r="C352" s="164">
        <f>(avgHops-1+3)*B352/1000</f>
        <v>0.86311002154983563</v>
      </c>
      <c r="D352"/>
      <c r="E352" s="169">
        <v>2000</v>
      </c>
      <c r="F352" s="171">
        <v>11000</v>
      </c>
      <c r="G352" s="164">
        <f>(E352*missingTransactionRate*1000/avgTrSize)/(F352*ongoingResourcePercent90thP1)</f>
        <v>3.8277511961722493E-2</v>
      </c>
      <c r="H352"/>
      <c r="I352" s="169">
        <v>11000</v>
      </c>
      <c r="J352" s="164">
        <f>I352*(missingTransactionRate+compactBlockCompactedness)/(avgRelayBandwidth*0.1*mbToGB*KBperGB)</f>
        <v>16.72</v>
      </c>
    </row>
    <row r="353" spans="1:10" s="97" customFormat="1" x14ac:dyDescent="0.25">
      <c r="B353" s="39"/>
      <c r="C353" s="7"/>
      <c r="D353" s="93"/>
      <c r="E353" s="39"/>
    </row>
    <row r="354" spans="1:10" s="97" customFormat="1" x14ac:dyDescent="0.25">
      <c r="A354" s="11" t="s">
        <v>172</v>
      </c>
      <c r="B354" s="39"/>
      <c r="C354" s="7"/>
      <c r="D354" s="93"/>
      <c r="E354" s="39"/>
    </row>
    <row r="355" spans="1:10" s="97" customFormat="1" x14ac:dyDescent="0.25">
      <c r="A355" s="181"/>
      <c r="B355" s="181"/>
      <c r="C355" s="181"/>
      <c r="F355" s="98"/>
      <c r="H355" s="98"/>
    </row>
    <row r="356" spans="1:10" s="97" customFormat="1" x14ac:dyDescent="0.25">
      <c r="A356" s="98" t="s">
        <v>165</v>
      </c>
      <c r="B356" s="173" t="s">
        <v>186</v>
      </c>
      <c r="C356" s="98" t="s">
        <v>136</v>
      </c>
      <c r="D356"/>
      <c r="E356"/>
      <c r="F356"/>
      <c r="G356"/>
      <c r="H356"/>
    </row>
    <row r="357" spans="1:10" s="97" customFormat="1" x14ac:dyDescent="0.25">
      <c r="A357" s="137" t="s">
        <v>166</v>
      </c>
      <c r="B357" s="173" t="s">
        <v>57</v>
      </c>
      <c r="C357" s="98" t="s">
        <v>139</v>
      </c>
      <c r="D357"/>
      <c r="E357" s="189"/>
      <c r="F357"/>
      <c r="G357"/>
      <c r="H357"/>
    </row>
    <row r="358" spans="1:10" s="97" customFormat="1" x14ac:dyDescent="0.25">
      <c r="A358" s="104">
        <v>0.5</v>
      </c>
      <c r="B358" s="179">
        <f>(1-sybilPercenta)*(privateConnections10thb+publicConnections10thb)</f>
        <v>44</v>
      </c>
      <c r="C358" s="197">
        <f>LOG(curUsers*1000*1000)/LOG(B358/2)</f>
        <v>5.0990631622983127</v>
      </c>
      <c r="D358"/>
      <c r="E358"/>
      <c r="F358"/>
      <c r="G358"/>
      <c r="H358"/>
    </row>
    <row r="359" spans="1:10" s="97" customFormat="1" x14ac:dyDescent="0.25">
      <c r="C359" s="7"/>
      <c r="D359" s="93"/>
      <c r="E359" s="39"/>
    </row>
    <row r="360" spans="1:10" s="97" customFormat="1" x14ac:dyDescent="0.25">
      <c r="B360" s="137" t="s">
        <v>155</v>
      </c>
      <c r="D360" s="173" t="s">
        <v>144</v>
      </c>
      <c r="E360" s="173" t="s">
        <v>144</v>
      </c>
      <c r="H360" s="93"/>
      <c r="I360" s="39"/>
      <c r="J360" s="106" t="s">
        <v>156</v>
      </c>
    </row>
    <row r="361" spans="1:10" s="97" customFormat="1" x14ac:dyDescent="0.25">
      <c r="B361" s="173" t="s">
        <v>156</v>
      </c>
      <c r="C361" s="137" t="s">
        <v>145</v>
      </c>
      <c r="D361" s="173" t="s">
        <v>32</v>
      </c>
      <c r="E361" s="173" t="s">
        <v>32</v>
      </c>
      <c r="F361" s="173" t="s">
        <v>144</v>
      </c>
      <c r="G361" s="173" t="s">
        <v>30</v>
      </c>
      <c r="H361" s="137" t="s">
        <v>145</v>
      </c>
      <c r="I361" s="137" t="s">
        <v>145</v>
      </c>
      <c r="J361" s="106" t="s">
        <v>182</v>
      </c>
    </row>
    <row r="362" spans="1:10" s="97" customFormat="1" x14ac:dyDescent="0.25">
      <c r="A362" s="172" t="s">
        <v>7</v>
      </c>
      <c r="B362" s="173" t="s">
        <v>157</v>
      </c>
      <c r="C362" s="173" t="s">
        <v>148</v>
      </c>
      <c r="D362" s="173" t="s">
        <v>177</v>
      </c>
      <c r="E362" s="173" t="s">
        <v>178</v>
      </c>
      <c r="F362" s="173" t="s">
        <v>32</v>
      </c>
      <c r="G362" s="173" t="s">
        <v>68</v>
      </c>
      <c r="H362" s="173" t="s">
        <v>147</v>
      </c>
      <c r="I362" s="173" t="s">
        <v>146</v>
      </c>
      <c r="J362" s="195" t="s">
        <v>181</v>
      </c>
    </row>
    <row r="363" spans="1:10" s="97" customFormat="1" x14ac:dyDescent="0.25">
      <c r="A363" s="97">
        <v>0</v>
      </c>
      <c r="B363" s="143">
        <f>secondsPerBlock*maximumMinerAdvantage/targetMinerPercentHashpower</f>
        <v>2.4</v>
      </c>
      <c r="C363" s="187">
        <f>(((avgHops19-1+5)*minLastMileLatency) + ((avgHops19-1)*proximityFavoringFactor*(Latency10thP1-minLastMileLatency)+5*(Latency90thP1-minLastMileLatency))*(1-(1-POWER(1+latencyGrowth,A363))))/1000</f>
        <v>1.5471820792666275</v>
      </c>
      <c r="D363" s="9">
        <f>(B363 - C363)*(Bandwidth90thP1*ongoingResourcePercent90thP1*POWER(1+bandwidthGrowth,A363)*mbToGB*KBperGB)/(compactBlockCompactedness+missingTransactionRate)</f>
        <v>561.06442153511341</v>
      </c>
      <c r="E363" s="9">
        <f>(B363 - C363)*avgTrSize*(Throughput90thP1*ongoingResourcePercent90thP1*POWER(1+cpuGrowth,A363))/missingTransactionRate/1000</f>
        <v>810.1770246967036</v>
      </c>
      <c r="F363" s="9">
        <f>MIN(D363,E363)</f>
        <v>561.06442153511341</v>
      </c>
      <c r="G363" s="6">
        <f>F363*1000/secondsPerBlock/avgTrSize</f>
        <v>1.9686470931056608</v>
      </c>
      <c r="H363" s="146">
        <f>F363*(missingTransactionRate+compactBlockCompactedness)/(Bandwidth90thP1*ongoingResourcePercent90thP1*POWER(1+bandwidthGrowth,A363)*mbToGB*KBperGB)</f>
        <v>0.85281792073337248</v>
      </c>
      <c r="I363" s="147">
        <f>(F363*missingTransactionRate*1000/avgTrSize)/(Throughput90thP1*ongoingResourcePercent90thP1*POWER(1+cpuGrowth,A363))</f>
        <v>0.5905941279316983</v>
      </c>
      <c r="J363" s="196">
        <f>MAX(H363,I363)+C363</f>
        <v>2.4</v>
      </c>
    </row>
    <row r="364" spans="1:10" s="97" customFormat="1" x14ac:dyDescent="0.25">
      <c r="A364" s="97">
        <v>1</v>
      </c>
      <c r="B364" s="143">
        <f>secondsPerBlock*maximumMinerAdvantage/targetMinerPercentHashpower</f>
        <v>2.4</v>
      </c>
      <c r="C364" s="187">
        <f>(((avgHops19-1+5)*minLastMileLatency) + ((avgHops19-1)*proximityFavoringFactor*(Latency10thP1-minLastMileLatency)+5*(Latency90thP1-minLastMileLatency))*(1-(1-POWER(1+latencyGrowth,A364))))/1000</f>
        <v>1.5048611953116631</v>
      </c>
      <c r="D364" s="9">
        <f>(B364 - C364)*(Bandwidth90thP1*ongoingResourcePercent90thP1*POWER(1+bandwidthGrowth,A364)*mbToGB*KBperGB)/(compactBlockCompactedness+missingTransactionRate)</f>
        <v>736.13388543448752</v>
      </c>
      <c r="E364" s="9">
        <f>(B364 - C364)*avgTrSize*(Throughput90thP1*ongoingResourcePercent90thP1*POWER(1+cpuGrowth,A364))/missingTransactionRate/1000</f>
        <v>994.94678141108636</v>
      </c>
      <c r="F364" s="9">
        <f t="shared" ref="F364:F378" si="50">MIN(D364,E364)</f>
        <v>736.13388543448752</v>
      </c>
      <c r="G364" s="6">
        <f>F364*1000/secondsPerBlock/avgTrSize</f>
        <v>2.5829259138052194</v>
      </c>
      <c r="H364" s="146">
        <f>F364*(missingTransactionRate+compactBlockCompactedness)/(Bandwidth90thP1*ongoingResourcePercent90thP1*POWER(1+bandwidthGrowth,A364)*mbToGB*KBperGB)</f>
        <v>0.89513880468833684</v>
      </c>
      <c r="I364" s="147">
        <f>(F364*missingTransactionRate*1000/avgTrSize)/(Throughput90thP1*ongoingResourcePercent90thP1*POWER(1+cpuGrowth,A364))</f>
        <v>0.66228869584749217</v>
      </c>
      <c r="J364" s="196">
        <f t="shared" ref="J364:J378" si="51">MAX(H364,I364)+C364</f>
        <v>2.4</v>
      </c>
    </row>
    <row r="365" spans="1:10" s="97" customFormat="1" x14ac:dyDescent="0.25">
      <c r="A365" s="97">
        <v>2</v>
      </c>
      <c r="B365" s="143">
        <f t="shared" ref="B365:B378" si="52">secondsPerBlock*maximumMinerAdvantage/targetMinerPercentHashpower</f>
        <v>2.4</v>
      </c>
      <c r="C365" s="187">
        <f>(((avgHops19-1+5)*minLastMileLatency) + ((avgHops19-1)*proximityFavoringFactor*(Latency10thP1-minLastMileLatency)+5*(Latency90thP1-minLastMileLatency))*(1-(1-POWER(1+latencyGrowth,A365))))/1000</f>
        <v>1.4638099378753473</v>
      </c>
      <c r="D365" s="9">
        <f>(B365 - C365)*(Bandwidth90thP1*ongoingResourcePercent90thP1*POWER(1+bandwidthGrowth,A365)*mbToGB*KBperGB)/(compactBlockCompactedness+missingTransactionRate)</f>
        <v>962.36642899326955</v>
      </c>
      <c r="E365" s="9">
        <f>(B365 - C365)*avgTrSize*(Throughput90thP1*ongoingResourcePercent90thP1*POWER(1+cpuGrowth,A365))/missingTransactionRate/1000</f>
        <v>1217.4730472403151</v>
      </c>
      <c r="F365" s="9">
        <f t="shared" si="50"/>
        <v>962.36642899326955</v>
      </c>
      <c r="G365" s="6">
        <f>F365*1000/secondsPerBlock/avgTrSize</f>
        <v>3.3767243122570862</v>
      </c>
      <c r="H365" s="146">
        <f>F365*(missingTransactionRate+compactBlockCompactedness)/(Bandwidth90thP1*ongoingResourcePercent90thP1*POWER(1+bandwidthGrowth,A365)*mbToGB*KBperGB)</f>
        <v>0.93619006212465261</v>
      </c>
      <c r="I365" s="147">
        <f>(F365*missingTransactionRate*1000/avgTrSize)/(Throughput90thP1*ongoingResourcePercent90thP1*POWER(1+cpuGrowth,A365))</f>
        <v>0.74002286045520205</v>
      </c>
      <c r="J365" s="196">
        <f t="shared" si="51"/>
        <v>2.4</v>
      </c>
    </row>
    <row r="366" spans="1:10" s="97" customFormat="1" x14ac:dyDescent="0.25">
      <c r="A366" s="97">
        <v>3</v>
      </c>
      <c r="B366" s="143">
        <f t="shared" si="52"/>
        <v>2.4</v>
      </c>
      <c r="C366" s="187">
        <f>(((avgHops19-1+5)*minLastMileLatency) + ((avgHops19-1)*proximityFavoringFactor*(Latency10thP1-minLastMileLatency)+5*(Latency90thP1-minLastMileLatency))*(1-(1-POWER(1+latencyGrowth,A366))))/1000</f>
        <v>1.4239902181621211</v>
      </c>
      <c r="D366" s="9">
        <f>(B366 - C366)*(Bandwidth90thP1*ongoingResourcePercent90thP1*POWER(1+bandwidthGrowth,A366)*mbToGB*KBperGB)/(compactBlockCompactedness+missingTransactionRate)</f>
        <v>1254.124411284281</v>
      </c>
      <c r="E366" s="9">
        <f>(B366 - C366)*avgTrSize*(Throughput90thP1*ongoingResourcePercent90thP1*POWER(1+cpuGrowth,A366))/missingTransactionRate/1000</f>
        <v>1485.0304569827747</v>
      </c>
      <c r="F366" s="9">
        <f t="shared" si="50"/>
        <v>1254.124411284281</v>
      </c>
      <c r="G366" s="6">
        <f>F366*1000/secondsPerBlock/avgTrSize</f>
        <v>4.4004365308220379</v>
      </c>
      <c r="H366" s="146">
        <f>F366*(missingTransactionRate+compactBlockCompactedness)/(Bandwidth90thP1*ongoingResourcePercent90thP1*POWER(1+bandwidthGrowth,A366)*mbToGB*KBperGB)</f>
        <v>0.97600978183787879</v>
      </c>
      <c r="I366" s="147">
        <f>(F366*missingTransactionRate*1000/avgTrSize)/(Throughput90thP1*ongoingResourcePercent90thP1*POWER(1+cpuGrowth,A366))</f>
        <v>0.82425090158896797</v>
      </c>
      <c r="J366" s="196">
        <f t="shared" si="51"/>
        <v>2.4</v>
      </c>
    </row>
    <row r="367" spans="1:10" s="97" customFormat="1" x14ac:dyDescent="0.25">
      <c r="A367" s="97">
        <v>4</v>
      </c>
      <c r="B367" s="143">
        <f t="shared" si="52"/>
        <v>2.4</v>
      </c>
      <c r="C367" s="187">
        <f>(((avgHops19-1+5)*minLastMileLatency) + ((avgHops19-1)*proximityFavoringFactor*(Latency10thP1-minLastMileLatency)+5*(Latency90thP1-minLastMileLatency))*(1-(1-POWER(1+latencyGrowth,A367))))/1000</f>
        <v>1.3853650900402918</v>
      </c>
      <c r="D367" s="9">
        <f>(B367 - C367)*(Bandwidth90thP1*ongoingResourcePercent90thP1*POWER(1+bandwidthGrowth,A367)*mbToGB*KBperGB)/(compactBlockCompactedness+missingTransactionRate)</f>
        <v>1629.6947438446175</v>
      </c>
      <c r="E367" s="9">
        <f>(B367 - C367)*avgTrSize*(Throughput90thP1*ongoingResourcePercent90thP1*POWER(1+cpuGrowth,A367))/missingTransactionRate/1000</f>
        <v>1806.2458115633481</v>
      </c>
      <c r="F367" s="9">
        <f t="shared" si="50"/>
        <v>1629.6947438446175</v>
      </c>
      <c r="G367" s="6">
        <f>F367*1000/secondsPerBlock/avgTrSize</f>
        <v>5.7182271713846218</v>
      </c>
      <c r="H367" s="146">
        <f>F367*(missingTransactionRate+compactBlockCompactedness)/(Bandwidth90thP1*ongoingResourcePercent90thP1*POWER(1+bandwidthGrowth,A367)*mbToGB*KBperGB)</f>
        <v>1.0146349099597081</v>
      </c>
      <c r="I367" s="147">
        <f>(F367*missingTransactionRate*1000/avgTrSize)/(Throughput90thP1*ongoingResourcePercent90thP1*POWER(1+cpuGrowth,A367))</f>
        <v>0.91545966174526971</v>
      </c>
      <c r="J367" s="196">
        <f t="shared" si="51"/>
        <v>2.4</v>
      </c>
    </row>
    <row r="368" spans="1:10" s="97" customFormat="1" x14ac:dyDescent="0.25">
      <c r="A368" s="97">
        <v>5</v>
      </c>
      <c r="B368" s="143">
        <f t="shared" si="52"/>
        <v>2.4</v>
      </c>
      <c r="C368" s="187">
        <f>(((avgHops19-1+5)*minLastMileLatency) + ((avgHops19-1)*proximityFavoringFactor*(Latency10thP1-minLastMileLatency)+5*(Latency90thP1-minLastMileLatency))*(1-(1-POWER(1+latencyGrowth,A368))))/1000</f>
        <v>1.347898715762117</v>
      </c>
      <c r="D368" s="9">
        <f>(B368 - C368)*(Bandwidth90thP1*ongoingResourcePercent90thP1*POWER(1+bandwidthGrowth,A368)*mbToGB*KBperGB)/(compactBlockCompactedness+missingTransactionRate)</f>
        <v>2112.3409958646334</v>
      </c>
      <c r="E368" s="9">
        <f>(B368 - C368)*avgTrSize*(Throughput90thP1*ongoingResourcePercent90thP1*POWER(1+cpuGrowth,A368))/missingTransactionRate/1000</f>
        <v>2191.3435242855535</v>
      </c>
      <c r="F368" s="9">
        <f t="shared" si="50"/>
        <v>2112.3409958646334</v>
      </c>
      <c r="G368" s="6">
        <f>F368*1000/secondsPerBlock/avgTrSize</f>
        <v>7.4117227925074864</v>
      </c>
      <c r="H368" s="146">
        <f>F368*(missingTransactionRate+compactBlockCompactedness)/(Bandwidth90thP1*ongoingResourcePercent90thP1*POWER(1+bandwidthGrowth,A368)*mbToGB*KBperGB)</f>
        <v>1.052101284237883</v>
      </c>
      <c r="I368" s="147">
        <f>(F368*missingTransactionRate*1000/avgTrSize)/(Throughput90thP1*ongoingResourcePercent90thP1*POWER(1+cpuGrowth,A368))</f>
        <v>1.0141708271057501</v>
      </c>
      <c r="J368" s="196">
        <f t="shared" si="51"/>
        <v>2.4</v>
      </c>
    </row>
    <row r="369" spans="1:10" s="97" customFormat="1" x14ac:dyDescent="0.25">
      <c r="A369" s="97">
        <v>6</v>
      </c>
      <c r="B369" s="143">
        <f t="shared" si="52"/>
        <v>2.4</v>
      </c>
      <c r="C369" s="187">
        <f>(((avgHops19-1+5)*minLastMileLatency) + ((avgHops19-1)*proximityFavoringFactor*(Latency10thP1-minLastMileLatency)+5*(Latency90thP1-minLastMileLatency))*(1-(1-POWER(1+latencyGrowth,A369))))/1000</f>
        <v>1.3115563327122879</v>
      </c>
      <c r="D369" s="9">
        <f>(B369 - C369)*(Bandwidth90thP1*ongoingResourcePercent90thP1*POWER(1+bandwidthGrowth,A369)*mbToGB*KBperGB)/(compactBlockCompactedness+missingTransactionRate)</f>
        <v>2731.6336061771599</v>
      </c>
      <c r="E369" s="9">
        <f>(B369 - C369)*avgTrSize*(Throughput90thP1*ongoingResourcePercent90thP1*POWER(1+cpuGrowth,A369))/missingTransactionRate/1000</f>
        <v>2652.4348944201752</v>
      </c>
      <c r="F369" s="9">
        <f t="shared" si="50"/>
        <v>2652.4348944201752</v>
      </c>
      <c r="G369" s="6">
        <f>F369*1000/secondsPerBlock/avgTrSize</f>
        <v>9.3067891032286862</v>
      </c>
      <c r="H369" s="146">
        <f>F369*(missingTransactionRate+compactBlockCompactedness)/(Bandwidth90thP1*ongoingResourcePercent90thP1*POWER(1+bandwidthGrowth,A369)*mbToGB*KBperGB)</f>
        <v>1.0568862373035812</v>
      </c>
      <c r="I369" s="147">
        <f>(F369*missingTransactionRate*1000/avgTrSize)/(Throughput90thP1*ongoingResourcePercent90thP1*POWER(1+cpuGrowth,A369))</f>
        <v>1.088443667287712</v>
      </c>
      <c r="J369" s="196">
        <f t="shared" si="51"/>
        <v>2.4</v>
      </c>
    </row>
    <row r="370" spans="1:10" s="97" customFormat="1" x14ac:dyDescent="0.25">
      <c r="A370" s="97">
        <v>7</v>
      </c>
      <c r="B370" s="143">
        <f t="shared" si="52"/>
        <v>2.4</v>
      </c>
      <c r="C370" s="187">
        <f>(((avgHops19-1+5)*minLastMileLatency) + ((avgHops19-1)*proximityFavoringFactor*(Latency10thP1-minLastMileLatency)+5*(Latency90thP1-minLastMileLatency))*(1-(1-POWER(1+latencyGrowth,A370))))/1000</f>
        <v>1.2763042211539535</v>
      </c>
      <c r="D370" s="9">
        <f>(B370 - C370)*(Bandwidth90thP1*ongoingResourcePercent90thP1*POWER(1+bandwidthGrowth,A370)*mbToGB*KBperGB)/(compactBlockCompactedness+missingTransactionRate)</f>
        <v>3525.1309333539211</v>
      </c>
      <c r="E370" s="9">
        <f>(B370 - C370)*avgTrSize*(Throughput90thP1*ongoingResourcePercent90thP1*POWER(1+cpuGrowth,A370))/missingTransactionRate/1000</f>
        <v>3203.8589422664036</v>
      </c>
      <c r="F370" s="9">
        <f t="shared" si="50"/>
        <v>3203.8589422664036</v>
      </c>
      <c r="G370" s="6">
        <f>F370*1000/secondsPerBlock/avgTrSize</f>
        <v>11.241610323741769</v>
      </c>
      <c r="H370" s="146">
        <f>F370*(missingTransactionRate+compactBlockCompactedness)/(Bandwidth90thP1*ongoingResourcePercent90thP1*POWER(1+bandwidthGrowth,A370)*mbToGB*KBperGB)</f>
        <v>1.0212848366507645</v>
      </c>
      <c r="I370" s="147">
        <f>(F370*missingTransactionRate*1000/avgTrSize)/(Throughput90thP1*ongoingResourcePercent90thP1*POWER(1+cpuGrowth,A370))</f>
        <v>1.1236957788460464</v>
      </c>
      <c r="J370" s="196">
        <f t="shared" si="51"/>
        <v>2.4</v>
      </c>
    </row>
    <row r="371" spans="1:10" s="97" customFormat="1" x14ac:dyDescent="0.25">
      <c r="A371" s="97">
        <v>8</v>
      </c>
      <c r="B371" s="143">
        <f t="shared" si="52"/>
        <v>2.4</v>
      </c>
      <c r="C371" s="187">
        <f>(((avgHops19-1+5)*minLastMileLatency) + ((avgHops19-1)*proximityFavoringFactor*(Latency10thP1-minLastMileLatency)+5*(Latency90thP1-minLastMileLatency))*(1-(1-POWER(1+latencyGrowth,A371))))/1000</f>
        <v>1.2421096729423691</v>
      </c>
      <c r="D371" s="9">
        <f>(B371 - C371)*(Bandwidth90thP1*ongoingResourcePercent90thP1*POWER(1+bandwidthGrowth,A371)*mbToGB*KBperGB)/(compactBlockCompactedness+missingTransactionRate)</f>
        <v>4540.5027390217738</v>
      </c>
      <c r="E371" s="9">
        <f>(B371 - C371)*avgTrSize*(Throughput90thP1*ongoingResourcePercent90thP1*POWER(1+cpuGrowth,A371))/missingTransactionRate/1000</f>
        <v>3862.5838928672088</v>
      </c>
      <c r="F371" s="9">
        <f t="shared" si="50"/>
        <v>3862.5838928672088</v>
      </c>
      <c r="G371" s="6">
        <f>F371*1000/secondsPerBlock/avgTrSize</f>
        <v>13.552925939884943</v>
      </c>
      <c r="H371" s="146">
        <f>F371*(missingTransactionRate+compactBlockCompactedness)/(Bandwidth90thP1*ongoingResourcePercent90thP1*POWER(1+bandwidthGrowth,A371)*mbToGB*KBperGB)</f>
        <v>0.98501174518906121</v>
      </c>
      <c r="I371" s="147">
        <f>(F371*missingTransactionRate*1000/avgTrSize)/(Throughput90thP1*ongoingResourcePercent90thP1*POWER(1+cpuGrowth,A371))</f>
        <v>1.1578903270576306</v>
      </c>
      <c r="J371" s="196">
        <f t="shared" si="51"/>
        <v>2.3999999999999995</v>
      </c>
    </row>
    <row r="372" spans="1:10" s="97" customFormat="1" x14ac:dyDescent="0.25">
      <c r="A372" s="97">
        <v>9</v>
      </c>
      <c r="B372" s="143">
        <f t="shared" si="52"/>
        <v>2.4</v>
      </c>
      <c r="C372" s="187">
        <f>(((avgHops19-1+5)*minLastMileLatency) + ((avgHops19-1)*proximityFavoringFactor*(Latency10thP1-minLastMileLatency)+5*(Latency90thP1-minLastMileLatency))*(1-(1-POWER(1+latencyGrowth,A372))))/1000</f>
        <v>1.2089409611771322</v>
      </c>
      <c r="D372" s="9">
        <f>(B372 - C372)*(Bandwidth90thP1*ongoingResourcePercent90thP1*POWER(1+bandwidthGrowth,A372)*mbToGB*KBperGB)/(compactBlockCompactedness+missingTransactionRate)</f>
        <v>5838.2114239765806</v>
      </c>
      <c r="E372" s="9">
        <f>(B372 - C372)*avgTrSize*(Throughput90thP1*ongoingResourcePercent90thP1*POWER(1+cpuGrowth,A372))/missingTransactionRate/1000</f>
        <v>4648.6799837832032</v>
      </c>
      <c r="F372" s="9">
        <f t="shared" si="50"/>
        <v>4648.6799837832032</v>
      </c>
      <c r="G372" s="6">
        <f>F372*1000/secondsPerBlock/avgTrSize</f>
        <v>16.3111578378358</v>
      </c>
      <c r="H372" s="146">
        <f>F372*(missingTransactionRate+compactBlockCompactedness)/(Bandwidth90thP1*ongoingResourcePercent90thP1*POWER(1+bandwidthGrowth,A372)*mbToGB*KBperGB)</f>
        <v>0.94838160374613678</v>
      </c>
      <c r="I372" s="147">
        <f>(F372*missingTransactionRate*1000/avgTrSize)/(Throughput90thP1*ongoingResourcePercent90thP1*POWER(1+cpuGrowth,A372))</f>
        <v>1.1910590388228675</v>
      </c>
      <c r="J372" s="196">
        <f t="shared" si="51"/>
        <v>2.3999999999999995</v>
      </c>
    </row>
    <row r="373" spans="1:10" s="97" customFormat="1" x14ac:dyDescent="0.25">
      <c r="A373" s="97">
        <v>10</v>
      </c>
      <c r="B373" s="143">
        <f t="shared" si="52"/>
        <v>2.4</v>
      </c>
      <c r="C373" s="187">
        <f>(((avgHops19-1+5)*minLastMileLatency) + ((avgHops19-1)*proximityFavoringFactor*(Latency10thP1-minLastMileLatency)+5*(Latency90thP1-minLastMileLatency))*(1-(1-POWER(1+latencyGrowth,A373))))/1000</f>
        <v>1.1767673107648524</v>
      </c>
      <c r="D373" s="9">
        <f>(B373 - C373)*(Bandwidth90thP1*ongoingResourcePercent90thP1*POWER(1+bandwidthGrowth,A373)*mbToGB*KBperGB)/(compactBlockCompactedness+missingTransactionRate)</f>
        <v>7494.8961677124544</v>
      </c>
      <c r="E373" s="9">
        <f>(B373 - C373)*avgTrSize*(Throughput90thP1*ongoingResourcePercent90thP1*POWER(1+cpuGrowth,A373))/missingTransactionRate/1000</f>
        <v>5585.876136404363</v>
      </c>
      <c r="F373" s="9">
        <f t="shared" si="50"/>
        <v>5585.876136404363</v>
      </c>
      <c r="G373" s="6">
        <f>F373*1000/secondsPerBlock/avgTrSize</f>
        <v>19.599565390892504</v>
      </c>
      <c r="H373" s="146">
        <f>F373*(missingTransactionRate+compactBlockCompactedness)/(Bandwidth90thP1*ongoingResourcePercent90thP1*POWER(1+bandwidthGrowth,A373)*mbToGB*KBperGB)</f>
        <v>0.91166390236381578</v>
      </c>
      <c r="I373" s="147">
        <f>(F373*missingTransactionRate*1000/avgTrSize)/(Throughput90thP1*ongoingResourcePercent90thP1*POWER(1+cpuGrowth,A373))</f>
        <v>1.2232326892351475</v>
      </c>
      <c r="J373" s="196">
        <f t="shared" si="51"/>
        <v>2.4</v>
      </c>
    </row>
    <row r="374" spans="1:10" s="97" customFormat="1" x14ac:dyDescent="0.25">
      <c r="A374" s="97">
        <v>11</v>
      </c>
      <c r="B374" s="143">
        <f t="shared" si="52"/>
        <v>2.4</v>
      </c>
      <c r="C374" s="187">
        <f>(((avgHops19-1+5)*minLastMileLatency) + ((avgHops19-1)*proximityFavoringFactor*(Latency10thP1-minLastMileLatency)+5*(Latency90thP1-minLastMileLatency))*(1-(1-POWER(1+latencyGrowth,A374))))/1000</f>
        <v>1.1455588698649413</v>
      </c>
      <c r="D374" s="9">
        <f>(B374 - C374)*(Bandwidth90thP1*ongoingResourcePercent90thP1*POWER(1+bandwidthGrowth,A374)*mbToGB*KBperGB)/(compactBlockCompactedness+missingTransactionRate)</f>
        <v>9607.6426235274121</v>
      </c>
      <c r="E374" s="9">
        <f>(B374 - C374)*avgTrSize*(Throughput90thP1*ongoingResourcePercent90thP1*POWER(1+cpuGrowth,A374))/missingTransactionRate/1000</f>
        <v>6702.2152178916122</v>
      </c>
      <c r="F374" s="9">
        <f t="shared" si="50"/>
        <v>6702.2152178916122</v>
      </c>
      <c r="G374" s="6">
        <f>F374*1000/secondsPerBlock/avgTrSize</f>
        <v>23.516544624181098</v>
      </c>
      <c r="H374" s="146">
        <f>F374*(missingTransactionRate+compactBlockCompactedness)/(Bandwidth90thP1*ongoingResourcePercent90thP1*POWER(1+bandwidthGrowth,A374)*mbToGB*KBperGB)</f>
        <v>0.87508817321657884</v>
      </c>
      <c r="I374" s="147">
        <f>(F374*missingTransactionRate*1000/avgTrSize)/(Throughput90thP1*ongoingResourcePercent90thP1*POWER(1+cpuGrowth,A374))</f>
        <v>1.2544411301350586</v>
      </c>
      <c r="J374" s="196">
        <f t="shared" si="51"/>
        <v>2.4</v>
      </c>
    </row>
    <row r="375" spans="1:10" s="97" customFormat="1" x14ac:dyDescent="0.25">
      <c r="A375" s="97">
        <v>12</v>
      </c>
      <c r="B375" s="143">
        <f t="shared" si="52"/>
        <v>2.4</v>
      </c>
      <c r="C375" s="187">
        <f>(((avgHops19-1+5)*minLastMileLatency) + ((avgHops19-1)*proximityFavoringFactor*(Latency10thP1-minLastMileLatency)+5*(Latency90thP1-minLastMileLatency))*(1-(1-POWER(1+latencyGrowth,A375))))/1000</f>
        <v>1.1152866821920273</v>
      </c>
      <c r="D375" s="9">
        <f>(B375 - C375)*(Bandwidth90thP1*ongoingResourcePercent90thP1*POWER(1+bandwidthGrowth,A375)*mbToGB*KBperGB)/(compactBlockCompactedness+missingTransactionRate)</f>
        <v>12299.367956247066</v>
      </c>
      <c r="E375" s="9">
        <f>(B375 - C375)*avgTrSize*(Throughput90thP1*ongoingResourcePercent90thP1*POWER(1+cpuGrowth,A375))/missingTransactionRate/1000</f>
        <v>8030.8251878881592</v>
      </c>
      <c r="F375" s="9">
        <f t="shared" si="50"/>
        <v>8030.8251878881592</v>
      </c>
      <c r="G375" s="6">
        <f>F375*1000/secondsPerBlock/avgTrSize</f>
        <v>28.17833399259003</v>
      </c>
      <c r="H375" s="146">
        <f>F375*(missingTransactionRate+compactBlockCompactedness)/(Bandwidth90thP1*ongoingResourcePercent90thP1*POWER(1+bandwidthGrowth,A375)*mbToGB*KBperGB)</f>
        <v>0.83884863909834406</v>
      </c>
      <c r="I375" s="147">
        <f>(F375*missingTransactionRate*1000/avgTrSize)/(Throughput90thP1*ongoingResourcePercent90thP1*POWER(1+cpuGrowth,A375))</f>
        <v>1.2847133178079724</v>
      </c>
      <c r="J375" s="196">
        <f t="shared" si="51"/>
        <v>2.3999999999999995</v>
      </c>
    </row>
    <row r="376" spans="1:10" s="97" customFormat="1" x14ac:dyDescent="0.25">
      <c r="A376" s="97">
        <v>13</v>
      </c>
      <c r="B376" s="143">
        <f t="shared" si="52"/>
        <v>2.4</v>
      </c>
      <c r="C376" s="187">
        <f>(((avgHops19-1+5)*minLastMileLatency) + ((avgHops19-1)*proximityFavoringFactor*(Latency10thP1-minLastMileLatency)+5*(Latency90thP1-minLastMileLatency))*(1-(1-POWER(1+latencyGrowth,A376))))/1000</f>
        <v>1.0859226601493006</v>
      </c>
      <c r="D376" s="9">
        <f>(B376 - C376)*(Bandwidth90thP1*ongoingResourcePercent90thP1*POWER(1+bandwidthGrowth,A376)*mbToGB*KBperGB)/(compactBlockCompactedness+missingTransactionRate)</f>
        <v>15725.610240974665</v>
      </c>
      <c r="E376" s="9">
        <f>(B376 - C376)*avgTrSize*(Throughput90thP1*ongoingResourcePercent90thP1*POWER(1+cpuGrowth,A376))/missingTransactionRate/1000</f>
        <v>9610.8264361447527</v>
      </c>
      <c r="F376" s="9">
        <f t="shared" si="50"/>
        <v>9610.8264361447527</v>
      </c>
      <c r="G376" s="6">
        <f>F376*1000/secondsPerBlock/avgTrSize</f>
        <v>33.722198021560537</v>
      </c>
      <c r="H376" s="146">
        <f>F376*(missingTransactionRate+compactBlockCompactedness)/(Bandwidth90thP1*ongoingResourcePercent90thP1*POWER(1+bandwidthGrowth,A376)*mbToGB*KBperGB)</f>
        <v>0.80310837184993789</v>
      </c>
      <c r="I376" s="147">
        <f>(F376*missingTransactionRate*1000/avgTrSize)/(Throughput90thP1*ongoingResourcePercent90thP1*POWER(1+cpuGrowth,A376))</f>
        <v>1.3140773398506993</v>
      </c>
      <c r="J376" s="196">
        <f t="shared" si="51"/>
        <v>2.4</v>
      </c>
    </row>
    <row r="377" spans="1:10" s="97" customFormat="1" x14ac:dyDescent="0.25">
      <c r="A377" s="97">
        <v>14</v>
      </c>
      <c r="B377" s="143">
        <f t="shared" si="52"/>
        <v>2.4</v>
      </c>
      <c r="C377" s="187">
        <f>(((avgHops19-1+5)*minLastMileLatency) + ((avgHops19-1)*proximityFavoringFactor*(Latency10thP1-minLastMileLatency)+5*(Latency90thP1-minLastMileLatency))*(1-(1-POWER(1+latencyGrowth,A377))))/1000</f>
        <v>1.0574395587678558</v>
      </c>
      <c r="D377" s="9">
        <f>(B377 - C377)*(Bandwidth90thP1*ongoingResourcePercent90thP1*POWER(1+bandwidthGrowth,A377)*mbToGB*KBperGB)/(compactBlockCompactedness+missingTransactionRate)</f>
        <v>20083.085659713157</v>
      </c>
      <c r="E377" s="9">
        <f>(B377 - C377)*avgTrSize*(Throughput90thP1*ongoingResourcePercent90thP1*POWER(1+cpuGrowth,A377))/missingTransactionRate/1000</f>
        <v>11488.399150960939</v>
      </c>
      <c r="F377" s="9">
        <f t="shared" si="50"/>
        <v>11488.399150960939</v>
      </c>
      <c r="G377" s="6">
        <f>F377*1000/secondsPerBlock/avgTrSize</f>
        <v>40.310172459512067</v>
      </c>
      <c r="H377" s="146">
        <f>F377*(missingTransactionRate+compactBlockCompactedness)/(Bandwidth90thP1*ongoingResourcePercent90thP1*POWER(1+bandwidthGrowth,A377)*mbToGB*KBperGB)</f>
        <v>0.7680030098216194</v>
      </c>
      <c r="I377" s="147">
        <f>(F377*missingTransactionRate*1000/avgTrSize)/(Throughput90thP1*ongoingResourcePercent90thP1*POWER(1+cpuGrowth,A377))</f>
        <v>1.3425604412321441</v>
      </c>
      <c r="J377" s="196">
        <f t="shared" si="51"/>
        <v>2.4</v>
      </c>
    </row>
    <row r="378" spans="1:10" s="97" customFormat="1" x14ac:dyDescent="0.25">
      <c r="A378" s="97">
        <v>15</v>
      </c>
      <c r="B378" s="143">
        <f t="shared" si="52"/>
        <v>2.4</v>
      </c>
      <c r="C378" s="187">
        <f>(((avgHops19-1+5)*minLastMileLatency) + ((avgHops19-1)*proximityFavoringFactor*(Latency10thP1-minLastMileLatency)+5*(Latency90thP1-minLastMileLatency))*(1-(1-POWER(1+latencyGrowth,A378))))/1000</f>
        <v>1.0298109504278543</v>
      </c>
      <c r="D378" s="9">
        <f>(B378 - C378)*(Bandwidth90thP1*ongoingResourcePercent90thP1*POWER(1+bandwidthGrowth,A378)*mbToGB*KBperGB)/(compactBlockCompactedness+missingTransactionRate)</f>
        <v>25620.470415566419</v>
      </c>
      <c r="E378" s="9">
        <f>(B378 - C378)*avgTrSize*(Throughput90thP1*ongoingResourcePercent90thP1*POWER(1+cpuGrowth,A378))/missingTransactionRate/1000</f>
        <v>13718.038703864471</v>
      </c>
      <c r="F378" s="9">
        <f t="shared" si="50"/>
        <v>13718.038703864471</v>
      </c>
      <c r="G378" s="6">
        <f>F378*1000/secondsPerBlock/avgTrSize</f>
        <v>48.133469136366564</v>
      </c>
      <c r="H378" s="146">
        <f>F378*(missingTransactionRate+compactBlockCompactedness)/(Bandwidth90thP1*ongoingResourcePercent90thP1*POWER(1+bandwidthGrowth,A378)*mbToGB*KBperGB)</f>
        <v>0.73364407869036463</v>
      </c>
      <c r="I378" s="147">
        <f>(F378*missingTransactionRate*1000/avgTrSize)/(Throughput90thP1*ongoingResourcePercent90thP1*POWER(1+cpuGrowth,A378))</f>
        <v>1.3701890495721456</v>
      </c>
      <c r="J378" s="196">
        <f t="shared" si="51"/>
        <v>2.4</v>
      </c>
    </row>
    <row r="379" spans="1:10" s="97" customFormat="1" x14ac:dyDescent="0.25">
      <c r="B379" s="143"/>
      <c r="C379" s="9"/>
      <c r="D379" s="147"/>
      <c r="E379" s="146"/>
      <c r="F379" s="146"/>
      <c r="G379" s="148"/>
    </row>
    <row r="380" spans="1:10" s="97" customFormat="1" x14ac:dyDescent="0.25">
      <c r="B380" s="157"/>
      <c r="C380" s="158" t="s">
        <v>154</v>
      </c>
      <c r="D380" s="173"/>
      <c r="E380" s="157"/>
      <c r="F380" s="165"/>
      <c r="G380" s="158" t="s">
        <v>145</v>
      </c>
      <c r="H380" s="173"/>
      <c r="I380" s="157"/>
      <c r="J380" s="167" t="s">
        <v>145</v>
      </c>
    </row>
    <row r="381" spans="1:10" s="97" customFormat="1" x14ac:dyDescent="0.25">
      <c r="B381" s="159" t="s">
        <v>134</v>
      </c>
      <c r="C381" s="160" t="s">
        <v>134</v>
      </c>
      <c r="D381" s="173"/>
      <c r="E381" s="159" t="s">
        <v>32</v>
      </c>
      <c r="F381" s="166" t="s">
        <v>101</v>
      </c>
      <c r="G381" s="160" t="s">
        <v>146</v>
      </c>
      <c r="H381" s="173"/>
      <c r="I381" s="159" t="s">
        <v>32</v>
      </c>
      <c r="J381" s="160" t="s">
        <v>147</v>
      </c>
    </row>
    <row r="382" spans="1:10" s="97" customFormat="1" x14ac:dyDescent="0.25">
      <c r="B382" s="161">
        <v>40</v>
      </c>
      <c r="C382" s="162">
        <f>(avgHops19-1+3)*B382/1000</f>
        <v>0.28396252649193254</v>
      </c>
      <c r="E382" s="168">
        <v>2000</v>
      </c>
      <c r="F382" s="170">
        <v>1000</v>
      </c>
      <c r="G382" s="162">
        <f>(E382*missingTransactionRate*1000/avgTrSize)/(F382*ongoingResourcePercent90thP1)</f>
        <v>0.4210526315789474</v>
      </c>
      <c r="I382" s="168">
        <v>1000</v>
      </c>
      <c r="J382" s="162">
        <f>I382*(missingTransactionRate+compactBlockCompactedness)/(avgRelayBandwidth*0.1*mbToGB*KBperGB)</f>
        <v>1.52</v>
      </c>
    </row>
    <row r="383" spans="1:10" s="97" customFormat="1" x14ac:dyDescent="0.25">
      <c r="B383" s="161">
        <v>50</v>
      </c>
      <c r="C383" s="162">
        <f>(avgHops19-1+3)*B383/1000</f>
        <v>0.35495315811491568</v>
      </c>
      <c r="E383" s="168">
        <v>2000</v>
      </c>
      <c r="F383" s="170">
        <v>2000</v>
      </c>
      <c r="G383" s="162">
        <f>(E383*missingTransactionRate*1000/avgTrSize)/(F383*ongoingResourcePercent90thP1)</f>
        <v>0.2105263157894737</v>
      </c>
      <c r="I383" s="168">
        <v>2000</v>
      </c>
      <c r="J383" s="162">
        <f>I383*(missingTransactionRate+compactBlockCompactedness)/(avgRelayBandwidth*0.1*mbToGB*KBperGB)</f>
        <v>3.04</v>
      </c>
    </row>
    <row r="384" spans="1:10" s="97" customFormat="1" x14ac:dyDescent="0.25">
      <c r="B384" s="161">
        <v>60</v>
      </c>
      <c r="C384" s="162">
        <f>(avgHops19-1+3)*B384/1000</f>
        <v>0.42594378973789876</v>
      </c>
      <c r="E384" s="168">
        <v>2000</v>
      </c>
      <c r="F384" s="170">
        <v>3000</v>
      </c>
      <c r="G384" s="162">
        <f>(E384*missingTransactionRate*1000/avgTrSize)/(F384*ongoingResourcePercent90thP1)</f>
        <v>0.14035087719298248</v>
      </c>
      <c r="I384" s="168">
        <v>3000</v>
      </c>
      <c r="J384" s="162">
        <f>I384*(missingTransactionRate+compactBlockCompactedness)/(avgRelayBandwidth*0.1*mbToGB*KBperGB)</f>
        <v>4.5599999999999996</v>
      </c>
    </row>
    <row r="385" spans="1:10" s="97" customFormat="1" x14ac:dyDescent="0.25">
      <c r="B385" s="161">
        <v>70</v>
      </c>
      <c r="C385" s="162">
        <f>(avgHops19-1+3)*B385/1000</f>
        <v>0.49693442136088189</v>
      </c>
      <c r="E385" s="168">
        <v>2000</v>
      </c>
      <c r="F385" s="170">
        <v>4000</v>
      </c>
      <c r="G385" s="162">
        <f>(E385*missingTransactionRate*1000/avgTrSize)/(F385*ongoingResourcePercent90thP1)</f>
        <v>0.10526315789473685</v>
      </c>
      <c r="I385" s="168">
        <v>4000</v>
      </c>
      <c r="J385" s="162">
        <f>I385*(missingTransactionRate+compactBlockCompactedness)/(avgRelayBandwidth*0.1*mbToGB*KBperGB)</f>
        <v>6.08</v>
      </c>
    </row>
    <row r="386" spans="1:10" s="97" customFormat="1" x14ac:dyDescent="0.25">
      <c r="B386" s="161">
        <v>80</v>
      </c>
      <c r="C386" s="162">
        <f>(avgHops19-1+3)*B386/1000</f>
        <v>0.56792505298386509</v>
      </c>
      <c r="E386" s="168">
        <v>2000</v>
      </c>
      <c r="F386" s="170">
        <v>5000</v>
      </c>
      <c r="G386" s="162">
        <f>(E386*missingTransactionRate*1000/avgTrSize)/(F386*ongoingResourcePercent90thP1)</f>
        <v>8.4210526315789486E-2</v>
      </c>
      <c r="I386" s="168">
        <v>5000</v>
      </c>
      <c r="J386" s="162">
        <f>I386*(missingTransactionRate+compactBlockCompactedness)/(avgRelayBandwidth*0.1*mbToGB*KBperGB)</f>
        <v>7.6</v>
      </c>
    </row>
    <row r="387" spans="1:10" s="97" customFormat="1" x14ac:dyDescent="0.25">
      <c r="B387" s="161">
        <v>90</v>
      </c>
      <c r="C387" s="162">
        <f>(avgHops19-1+3)*B387/1000</f>
        <v>0.63891568460684811</v>
      </c>
      <c r="E387" s="168">
        <v>2000</v>
      </c>
      <c r="F387" s="170">
        <v>6000</v>
      </c>
      <c r="G387" s="162">
        <f>(E387*missingTransactionRate*1000/avgTrSize)/(F387*ongoingResourcePercent90thP1)</f>
        <v>7.0175438596491238E-2</v>
      </c>
      <c r="I387" s="168">
        <v>6000</v>
      </c>
      <c r="J387" s="162">
        <f>I387*(missingTransactionRate+compactBlockCompactedness)/(avgRelayBandwidth*0.1*mbToGB*KBperGB)</f>
        <v>9.1199999999999992</v>
      </c>
    </row>
    <row r="388" spans="1:10" s="97" customFormat="1" x14ac:dyDescent="0.25">
      <c r="B388" s="161">
        <v>100</v>
      </c>
      <c r="C388" s="162">
        <f>(avgHops19-1+3)*B388/1000</f>
        <v>0.70990631622983136</v>
      </c>
      <c r="E388" s="168">
        <v>2000</v>
      </c>
      <c r="F388" s="170">
        <v>7000</v>
      </c>
      <c r="G388" s="162">
        <f>(E388*missingTransactionRate*1000/avgTrSize)/(F388*ongoingResourcePercent90thP1)</f>
        <v>6.0150375939849628E-2</v>
      </c>
      <c r="I388" s="168">
        <v>7000</v>
      </c>
      <c r="J388" s="162">
        <f>I388*(missingTransactionRate+compactBlockCompactedness)/(avgRelayBandwidth*0.1*mbToGB*KBperGB)</f>
        <v>10.64</v>
      </c>
    </row>
    <row r="389" spans="1:10" s="97" customFormat="1" x14ac:dyDescent="0.25">
      <c r="B389" s="161">
        <v>110</v>
      </c>
      <c r="C389" s="162">
        <f>(avgHops19-1+3)*B389/1000</f>
        <v>0.78089694785281438</v>
      </c>
      <c r="E389" s="168">
        <v>2000</v>
      </c>
      <c r="F389" s="170">
        <v>8000</v>
      </c>
      <c r="G389" s="162">
        <f>(E389*missingTransactionRate*1000/avgTrSize)/(F389*ongoingResourcePercent90thP1)</f>
        <v>5.2631578947368425E-2</v>
      </c>
      <c r="I389" s="168">
        <v>8000</v>
      </c>
      <c r="J389" s="162">
        <f>I389*(missingTransactionRate+compactBlockCompactedness)/(avgRelayBandwidth*0.1*mbToGB*KBperGB)</f>
        <v>12.16</v>
      </c>
    </row>
    <row r="390" spans="1:10" s="97" customFormat="1" x14ac:dyDescent="0.25">
      <c r="B390" s="161">
        <v>120</v>
      </c>
      <c r="C390" s="162">
        <f>(avgHops19-1+3)*B390/1000</f>
        <v>0.85188757947579752</v>
      </c>
      <c r="E390" s="168">
        <v>2000</v>
      </c>
      <c r="F390" s="170">
        <v>9000</v>
      </c>
      <c r="G390" s="162">
        <f>(E390*missingTransactionRate*1000/avgTrSize)/(F390*ongoingResourcePercent90thP1)</f>
        <v>4.6783625730994156E-2</v>
      </c>
      <c r="I390" s="168">
        <v>9000</v>
      </c>
      <c r="J390" s="162">
        <f>I390*(missingTransactionRate+compactBlockCompactedness)/(avgRelayBandwidth*0.1*mbToGB*KBperGB)</f>
        <v>13.68</v>
      </c>
    </row>
    <row r="391" spans="1:10" s="97" customFormat="1" x14ac:dyDescent="0.25">
      <c r="B391" s="161">
        <v>130</v>
      </c>
      <c r="C391" s="162">
        <f>(avgHops19-1+3)*B391/1000</f>
        <v>0.92287821109878065</v>
      </c>
      <c r="E391" s="168">
        <v>2000</v>
      </c>
      <c r="F391" s="170">
        <v>10000</v>
      </c>
      <c r="G391" s="162">
        <f>(E391*missingTransactionRate*1000/avgTrSize)/(F391*ongoingResourcePercent90thP1)</f>
        <v>4.2105263157894743E-2</v>
      </c>
      <c r="I391" s="168">
        <v>10000</v>
      </c>
      <c r="J391" s="162">
        <f>I391*(missingTransactionRate+compactBlockCompactedness)/(avgRelayBandwidth*0.1*mbToGB*KBperGB)</f>
        <v>15.2</v>
      </c>
    </row>
    <row r="392" spans="1:10" s="97" customFormat="1" x14ac:dyDescent="0.25">
      <c r="B392" s="163">
        <v>140</v>
      </c>
      <c r="C392" s="164">
        <f>(avgHops19-1+3)*B392/1000</f>
        <v>0.99386884272176379</v>
      </c>
      <c r="E392" s="169">
        <v>2000</v>
      </c>
      <c r="F392" s="171">
        <v>11000</v>
      </c>
      <c r="G392" s="164">
        <f>(E392*missingTransactionRate*1000/avgTrSize)/(F392*ongoingResourcePercent90thP1)</f>
        <v>3.8277511961722493E-2</v>
      </c>
      <c r="I392" s="169">
        <v>11000</v>
      </c>
      <c r="J392" s="164">
        <f>I392*(missingTransactionRate+compactBlockCompactedness)/(avgRelayBandwidth*0.1*mbToGB*KBperGB)</f>
        <v>16.72</v>
      </c>
    </row>
    <row r="393" spans="1:10" s="97" customFormat="1" x14ac:dyDescent="0.25">
      <c r="B393" s="39"/>
      <c r="C393" s="7"/>
      <c r="D393" s="93"/>
      <c r="E393" s="39"/>
    </row>
    <row r="394" spans="1:10" x14ac:dyDescent="0.25">
      <c r="A394" s="5" t="s">
        <v>65</v>
      </c>
    </row>
    <row r="395" spans="1:10" x14ac:dyDescent="0.25">
      <c r="A395" s="176"/>
      <c r="B395" s="176"/>
      <c r="C395" s="176"/>
      <c r="D395" s="5" t="s">
        <v>67</v>
      </c>
      <c r="E395" s="5" t="s">
        <v>68</v>
      </c>
      <c r="F395" s="5" t="s">
        <v>17</v>
      </c>
      <c r="G395" s="5" t="s">
        <v>69</v>
      </c>
      <c r="H395" s="5" t="s">
        <v>70</v>
      </c>
    </row>
    <row r="396" spans="1:10" x14ac:dyDescent="0.25">
      <c r="A396" s="178" t="s">
        <v>21</v>
      </c>
      <c r="B396" s="178"/>
      <c r="C396" s="178"/>
      <c r="D396" s="49" t="str">
        <f>A77</f>
        <v>90th %ile</v>
      </c>
      <c r="E396" s="50">
        <f>E81</f>
        <v>0.45165461986341898</v>
      </c>
      <c r="F396" s="51">
        <f>D81</f>
        <v>128.72156666107443</v>
      </c>
      <c r="G396" s="54">
        <f>B81*avgTrSize/1000</f>
        <v>43.091999999999999</v>
      </c>
      <c r="H396" s="120"/>
    </row>
    <row r="397" spans="1:10" x14ac:dyDescent="0.25">
      <c r="A397" s="177" t="s">
        <v>5</v>
      </c>
      <c r="B397" s="177"/>
      <c r="C397" s="177"/>
      <c r="D397" s="2" t="str">
        <f>A53</f>
        <v>90th %ile</v>
      </c>
      <c r="E397" s="44">
        <f>E57</f>
        <v>0.8446313225664035</v>
      </c>
      <c r="F397" s="9">
        <f>D57</f>
        <v>240.71992693142499</v>
      </c>
      <c r="G397" s="35">
        <f>B57</f>
        <v>56.7</v>
      </c>
      <c r="H397" s="116"/>
    </row>
    <row r="398" spans="1:10" x14ac:dyDescent="0.25">
      <c r="A398" s="172"/>
      <c r="B398" s="172"/>
      <c r="C398" s="172" t="s">
        <v>169</v>
      </c>
      <c r="D398" s="188" t="s">
        <v>170</v>
      </c>
      <c r="E398" s="57">
        <f>G363</f>
        <v>1.9686470931056608</v>
      </c>
      <c r="F398" s="190">
        <f>F363</f>
        <v>561.06442153511341</v>
      </c>
      <c r="G398" s="55"/>
      <c r="H398" s="191"/>
    </row>
    <row r="399" spans="1:10" x14ac:dyDescent="0.25">
      <c r="A399" s="177" t="s">
        <v>49</v>
      </c>
      <c r="B399" s="177"/>
      <c r="C399" s="177"/>
      <c r="D399" s="2" t="str">
        <f>A261</f>
        <v>10th %ile</v>
      </c>
      <c r="E399" s="44">
        <f>F266</f>
        <v>3.2377366551843845</v>
      </c>
      <c r="F399" s="13">
        <f>E266</f>
        <v>922.75494672754951</v>
      </c>
      <c r="G399" s="35">
        <f>C265</f>
        <v>197</v>
      </c>
      <c r="H399" s="116"/>
    </row>
    <row r="400" spans="1:10" s="97" customFormat="1" x14ac:dyDescent="0.25">
      <c r="A400" s="177" t="s">
        <v>66</v>
      </c>
      <c r="B400" s="177"/>
      <c r="C400" s="177"/>
      <c r="D400" s="2" t="str">
        <f>A286</f>
        <v>90th %ile</v>
      </c>
      <c r="E400" s="57"/>
      <c r="F400" s="56"/>
      <c r="G400" s="55"/>
      <c r="H400" s="53">
        <f>C291</f>
        <v>1.3333333333333335</v>
      </c>
    </row>
    <row r="401" spans="1:8" x14ac:dyDescent="0.25">
      <c r="A401" s="177" t="s">
        <v>71</v>
      </c>
      <c r="B401" s="177"/>
      <c r="C401" s="177"/>
      <c r="D401" s="2" t="str">
        <f>A101</f>
        <v>90th %ile</v>
      </c>
      <c r="E401" s="44">
        <f>B106</f>
        <v>4.9000000000000004</v>
      </c>
      <c r="F401" s="13">
        <f>E106</f>
        <v>1396.5</v>
      </c>
      <c r="G401" s="35">
        <f>C106*avgTrSize/1000</f>
        <v>197.125</v>
      </c>
      <c r="H401" s="116"/>
    </row>
    <row r="402" spans="1:8" x14ac:dyDescent="0.25">
      <c r="A402" s="177" t="s">
        <v>56</v>
      </c>
      <c r="B402" s="177"/>
      <c r="C402" s="177"/>
      <c r="D402" s="2" t="str">
        <f>A165</f>
        <v>90th %ile</v>
      </c>
      <c r="E402" s="44">
        <f>D169</f>
        <v>10.096930533117932</v>
      </c>
      <c r="F402" s="9">
        <f>E169*1000</f>
        <v>2877.6252019386106</v>
      </c>
      <c r="G402" s="56"/>
      <c r="H402" s="116"/>
    </row>
    <row r="403" spans="1:8" x14ac:dyDescent="0.25">
      <c r="A403" s="177" t="s">
        <v>54</v>
      </c>
      <c r="B403" s="177"/>
      <c r="C403" s="177"/>
      <c r="D403" s="2" t="str">
        <f>A213</f>
        <v>90th %ile</v>
      </c>
      <c r="E403" s="44">
        <f>B217</f>
        <v>20</v>
      </c>
      <c r="F403" s="13">
        <f>C217*1000</f>
        <v>5700</v>
      </c>
      <c r="G403" s="55"/>
      <c r="H403" s="116"/>
    </row>
    <row r="404" spans="1:8" x14ac:dyDescent="0.25">
      <c r="A404" s="177" t="s">
        <v>47</v>
      </c>
      <c r="B404" s="177"/>
      <c r="C404" s="177"/>
      <c r="D404" s="2" t="str">
        <f>A237</f>
        <v>90th %ile</v>
      </c>
      <c r="E404" s="57"/>
      <c r="F404" s="56"/>
      <c r="G404" s="55"/>
      <c r="H404" s="53">
        <f>B241</f>
        <v>12.8</v>
      </c>
    </row>
    <row r="405" spans="1:8" x14ac:dyDescent="0.25">
      <c r="A405" s="177" t="s">
        <v>56</v>
      </c>
      <c r="B405" s="177"/>
      <c r="C405" s="177"/>
      <c r="D405" s="99" t="s">
        <v>81</v>
      </c>
      <c r="E405" s="45">
        <f>D193</f>
        <v>151.77270519669742</v>
      </c>
      <c r="F405" s="113">
        <f>E193</f>
        <v>43.255220981058763</v>
      </c>
      <c r="G405" s="116"/>
      <c r="H405" s="116"/>
    </row>
  </sheetData>
  <mergeCells count="12">
    <mergeCell ref="H7:K7"/>
    <mergeCell ref="A395:C395"/>
    <mergeCell ref="A404:C404"/>
    <mergeCell ref="A405:C405"/>
    <mergeCell ref="A397:C397"/>
    <mergeCell ref="A396:C396"/>
    <mergeCell ref="A401:C401"/>
    <mergeCell ref="A403:C403"/>
    <mergeCell ref="A400:C400"/>
    <mergeCell ref="A399:C399"/>
    <mergeCell ref="A402:C402"/>
    <mergeCell ref="H8:K8"/>
  </mergeCells>
  <conditionalFormatting sqref="I126:I141">
    <cfRule type="colorScale" priority="12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06:I121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401:F403 F396:F399">
    <cfRule type="cellIs" dxfId="8" priority="8" operator="lessThan">
      <formula>$C$19</formula>
    </cfRule>
  </conditionalFormatting>
  <conditionalFormatting sqref="G401 G396:G397 G399">
    <cfRule type="cellIs" dxfId="7" priority="6" operator="lessThan">
      <formula>$B$19</formula>
    </cfRule>
  </conditionalFormatting>
  <conditionalFormatting sqref="H404 H400">
    <cfRule type="cellIs" dxfId="6" priority="5" operator="lessThan">
      <formula>$D$19</formula>
    </cfRule>
  </conditionalFormatting>
  <conditionalFormatting sqref="J11:J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1:E403 E396:E399">
    <cfRule type="cellIs" dxfId="5" priority="16" operator="lessThan">
      <formula>$C$19*1000/$C$10/$A$15</formula>
    </cfRule>
  </conditionalFormatting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57"/>
  <sheetViews>
    <sheetView tabSelected="1" topLeftCell="A194" workbookViewId="0">
      <selection activeCell="J210" sqref="J210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" customWidth="1"/>
    <col min="5" max="5" width="12.42578125" customWidth="1"/>
    <col min="6" max="6" width="11.28515625" customWidth="1"/>
    <col min="7" max="7" width="12.85546875" customWidth="1"/>
    <col min="8" max="8" width="12" customWidth="1"/>
    <col min="9" max="9" width="12" bestFit="1" customWidth="1"/>
    <col min="10" max="10" width="11.85546875" bestFit="1" customWidth="1"/>
    <col min="11" max="11" width="9.85546875" customWidth="1"/>
  </cols>
  <sheetData>
    <row r="1" spans="1:12" s="67" customFormat="1" x14ac:dyDescent="0.25">
      <c r="A1" s="68" t="s">
        <v>0</v>
      </c>
      <c r="G1" s="68" t="s">
        <v>76</v>
      </c>
      <c r="H1" s="68" t="s">
        <v>75</v>
      </c>
      <c r="I1" s="68" t="s">
        <v>86</v>
      </c>
      <c r="J1" s="71" t="s">
        <v>85</v>
      </c>
      <c r="K1" s="68" t="s">
        <v>15</v>
      </c>
      <c r="L1" s="68" t="s">
        <v>38</v>
      </c>
    </row>
    <row r="2" spans="1:12" s="67" customFormat="1" x14ac:dyDescent="0.25">
      <c r="A2" s="68" t="s">
        <v>78</v>
      </c>
      <c r="B2" s="68" t="s">
        <v>1</v>
      </c>
      <c r="C2" s="68" t="s">
        <v>2</v>
      </c>
      <c r="D2" s="68" t="s">
        <v>3</v>
      </c>
      <c r="E2" s="68" t="s">
        <v>10</v>
      </c>
      <c r="F2" s="173" t="s">
        <v>134</v>
      </c>
      <c r="G2" s="68" t="s">
        <v>57</v>
      </c>
      <c r="H2" s="68" t="s">
        <v>57</v>
      </c>
      <c r="I2" s="68" t="s">
        <v>15</v>
      </c>
      <c r="J2" s="68" t="s">
        <v>15</v>
      </c>
      <c r="K2" s="68" t="s">
        <v>16</v>
      </c>
      <c r="L2" s="68" t="s">
        <v>16</v>
      </c>
    </row>
    <row r="3" spans="1:12" s="67" customFormat="1" x14ac:dyDescent="0.25">
      <c r="A3" s="69" t="s">
        <v>82</v>
      </c>
      <c r="B3" s="74">
        <v>1000</v>
      </c>
      <c r="C3" s="75">
        <v>10000</v>
      </c>
      <c r="D3" s="75">
        <v>20</v>
      </c>
      <c r="E3" s="76">
        <v>50000</v>
      </c>
      <c r="F3" s="144">
        <v>90</v>
      </c>
      <c r="G3" s="79">
        <v>14</v>
      </c>
      <c r="H3" s="83">
        <f>($G$5*0.9+$G$4*0.09+$G$3*0.01)/publicNodePercent</f>
        <v>140</v>
      </c>
      <c r="I3" s="77">
        <v>7</v>
      </c>
      <c r="J3" s="77">
        <v>60</v>
      </c>
      <c r="K3" s="78">
        <v>0.75</v>
      </c>
      <c r="L3" s="78">
        <v>0.1</v>
      </c>
    </row>
    <row r="4" spans="1:12" s="67" customFormat="1" x14ac:dyDescent="0.25">
      <c r="A4" s="69" t="s">
        <v>81</v>
      </c>
      <c r="B4" s="74">
        <v>50</v>
      </c>
      <c r="C4" s="75">
        <v>1000</v>
      </c>
      <c r="D4" s="75">
        <v>8</v>
      </c>
      <c r="E4" s="76">
        <v>5000</v>
      </c>
      <c r="F4" s="144">
        <v>130</v>
      </c>
      <c r="G4" s="79">
        <v>14</v>
      </c>
      <c r="H4" s="82">
        <f>($G$5*0.9+$G$4*0.09+$G$3*0.01)/publicNodePercent</f>
        <v>140</v>
      </c>
      <c r="I4" s="77">
        <v>7</v>
      </c>
      <c r="J4" s="77">
        <v>60</v>
      </c>
      <c r="K4" s="78">
        <f>'Current Bitcoin'!$J$4</f>
        <v>0.5</v>
      </c>
      <c r="L4" s="78">
        <v>0.1</v>
      </c>
    </row>
    <row r="5" spans="1:12" s="67" customFormat="1" x14ac:dyDescent="0.25">
      <c r="A5" s="69" t="s">
        <v>80</v>
      </c>
      <c r="B5" s="74">
        <v>1</v>
      </c>
      <c r="C5" s="75">
        <v>128</v>
      </c>
      <c r="D5" s="75">
        <v>2</v>
      </c>
      <c r="E5" s="76">
        <v>200</v>
      </c>
      <c r="F5" s="144">
        <v>250</v>
      </c>
      <c r="G5" s="79">
        <v>14</v>
      </c>
      <c r="H5" s="79">
        <v>0</v>
      </c>
      <c r="I5" s="77">
        <v>7</v>
      </c>
      <c r="J5" s="77">
        <v>60</v>
      </c>
      <c r="K5" s="78">
        <v>0.75</v>
      </c>
      <c r="L5" s="78">
        <v>0.1</v>
      </c>
    </row>
    <row r="6" spans="1:12" s="67" customFormat="1" x14ac:dyDescent="0.25">
      <c r="A6" s="69" t="s">
        <v>8</v>
      </c>
      <c r="B6" s="78">
        <v>0.25</v>
      </c>
      <c r="C6" s="78">
        <v>0.25</v>
      </c>
      <c r="D6" s="78">
        <v>0.15</v>
      </c>
      <c r="E6" s="78">
        <v>0.17</v>
      </c>
      <c r="F6" s="184">
        <v>-0.03</v>
      </c>
    </row>
    <row r="7" spans="1:12" s="67" customFormat="1" x14ac:dyDescent="0.25"/>
    <row r="9" spans="1:12" x14ac:dyDescent="0.25">
      <c r="A9" s="71" t="s">
        <v>87</v>
      </c>
    </row>
    <row r="10" spans="1:12" x14ac:dyDescent="0.25">
      <c r="A10" s="68"/>
      <c r="B10" s="69"/>
      <c r="C10" s="67"/>
      <c r="D10" s="67"/>
      <c r="E10" s="67"/>
      <c r="F10" s="67"/>
      <c r="G10" s="81" t="s">
        <v>76</v>
      </c>
      <c r="H10" s="81" t="s">
        <v>75</v>
      </c>
      <c r="I10" s="67"/>
      <c r="J10" s="67"/>
      <c r="K10" s="67"/>
    </row>
    <row r="11" spans="1:12" x14ac:dyDescent="0.25">
      <c r="A11" s="69" t="s">
        <v>6</v>
      </c>
      <c r="B11" s="67"/>
      <c r="C11" s="81" t="s">
        <v>2</v>
      </c>
      <c r="D11" s="81" t="s">
        <v>3</v>
      </c>
      <c r="E11" s="67"/>
      <c r="F11" s="67"/>
      <c r="G11" s="81" t="s">
        <v>57</v>
      </c>
      <c r="H11" s="81" t="s">
        <v>57</v>
      </c>
      <c r="I11" s="67"/>
      <c r="J11" s="67"/>
      <c r="K11" s="67"/>
    </row>
    <row r="12" spans="1:12" x14ac:dyDescent="0.25">
      <c r="A12" s="69" t="s">
        <v>80</v>
      </c>
      <c r="B12" s="130">
        <f>$B$5</f>
        <v>1</v>
      </c>
      <c r="C12" s="131">
        <f>$C$5</f>
        <v>128</v>
      </c>
      <c r="D12" s="131">
        <f>$D$5</f>
        <v>2</v>
      </c>
      <c r="E12" s="132">
        <f>$E$5</f>
        <v>200</v>
      </c>
      <c r="F12" s="145">
        <f>$F$5</f>
        <v>250</v>
      </c>
      <c r="G12" s="83">
        <f>$G$5</f>
        <v>14</v>
      </c>
      <c r="H12" s="83">
        <f>$H$5</f>
        <v>0</v>
      </c>
      <c r="I12" s="133">
        <f>$I$5</f>
        <v>7</v>
      </c>
      <c r="J12" s="133">
        <f>$J$5</f>
        <v>60</v>
      </c>
      <c r="K12" s="134">
        <f>$K$5</f>
        <v>0.75</v>
      </c>
      <c r="L12" s="134">
        <f>$L$5</f>
        <v>0.1</v>
      </c>
    </row>
    <row r="13" spans="1:1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2" x14ac:dyDescent="0.25">
      <c r="A14" s="67"/>
      <c r="B14" s="68"/>
      <c r="C14" s="86" t="s">
        <v>45</v>
      </c>
      <c r="D14" s="86" t="s">
        <v>39</v>
      </c>
      <c r="E14" s="86" t="s">
        <v>31</v>
      </c>
      <c r="F14" s="67"/>
      <c r="G14" s="67"/>
      <c r="H14" s="67"/>
      <c r="I14" s="67"/>
      <c r="J14" s="67"/>
      <c r="K14" s="67"/>
    </row>
    <row r="15" spans="1:12" x14ac:dyDescent="0.25">
      <c r="A15" s="70" t="s">
        <v>7</v>
      </c>
      <c r="B15" s="68" t="s">
        <v>88</v>
      </c>
      <c r="C15" s="86" t="s">
        <v>35</v>
      </c>
      <c r="D15" s="86" t="s">
        <v>8</v>
      </c>
      <c r="E15" s="68" t="s">
        <v>32</v>
      </c>
      <c r="F15" s="68" t="s">
        <v>20</v>
      </c>
      <c r="G15" s="67"/>
      <c r="H15" s="67"/>
      <c r="I15" s="67"/>
      <c r="J15" s="67"/>
      <c r="K15" s="67"/>
    </row>
    <row r="16" spans="1:12" x14ac:dyDescent="0.25">
      <c r="A16" s="67">
        <v>0</v>
      </c>
      <c r="B16" s="114">
        <f t="shared" ref="B16:B31" si="0">bandwidth9*syncResourcePercent8*mbToGB*secondsPerYear*POWER(1+bandwidthGrowth,A16)*recentSyncTime8/365</f>
        <v>56.7</v>
      </c>
      <c r="C16" s="91">
        <f xml:space="preserve"> utxoSize</f>
        <v>3</v>
      </c>
      <c r="D16" s="89">
        <f t="shared" ref="D16:D31" si="1">(B16-C16)/(assumevalidBlockTime/365)</f>
        <v>93.335714285714289</v>
      </c>
      <c r="E16" s="52">
        <f t="shared" ref="E16:E31" si="2">(D16*KBperGB/secondsPerYear)*secondsPerBlock/1000</f>
        <v>1.7757936507936509</v>
      </c>
      <c r="F16" s="73">
        <f t="shared" ref="F16:F31" si="3">E16*1000*1000/(secondsPerBlock*avgTrSize)</f>
        <v>6.230854915065442</v>
      </c>
      <c r="G16" s="67"/>
      <c r="H16" s="67"/>
      <c r="I16" s="67"/>
      <c r="J16" s="67"/>
      <c r="K16" s="67"/>
    </row>
    <row r="17" spans="1:11" x14ac:dyDescent="0.25">
      <c r="A17" s="67">
        <v>1</v>
      </c>
      <c r="B17" s="114">
        <f>bandwidth9*syncResourcePercent8*mbToGB*secondsPerYear*POWER(1+bandwidthGrowth,A17)*recentSyncTime8/365</f>
        <v>70.875</v>
      </c>
      <c r="C17" s="93">
        <f t="shared" ref="C17:C31" si="4" xml:space="preserve"> C16 + MIN(C16*utxoGrowth, curMaxBlocksize*secondsPerYear/secondsPerBlock/KBperGB)</f>
        <v>4.5</v>
      </c>
      <c r="D17" s="103">
        <f t="shared" si="1"/>
        <v>115.36607142857143</v>
      </c>
      <c r="E17" s="92">
        <f t="shared" si="2"/>
        <v>2.1949404761904763</v>
      </c>
      <c r="F17" s="73">
        <f t="shared" si="3"/>
        <v>7.7015455304928988</v>
      </c>
      <c r="G17" s="67"/>
      <c r="H17" s="67"/>
      <c r="I17" s="67"/>
      <c r="J17" s="67"/>
      <c r="K17" s="67"/>
    </row>
    <row r="18" spans="1:11" x14ac:dyDescent="0.25">
      <c r="A18" s="67">
        <v>2</v>
      </c>
      <c r="B18" s="114">
        <f t="shared" si="0"/>
        <v>88.59375</v>
      </c>
      <c r="C18" s="93">
        <f t="shared" si="4"/>
        <v>6.75</v>
      </c>
      <c r="D18" s="103">
        <f t="shared" si="1"/>
        <v>142.25223214285714</v>
      </c>
      <c r="E18" s="92">
        <f t="shared" si="2"/>
        <v>2.706473214285714</v>
      </c>
      <c r="F18" s="73">
        <f t="shared" si="3"/>
        <v>9.4963972431077668</v>
      </c>
      <c r="G18" s="67"/>
      <c r="H18" s="67"/>
      <c r="I18" s="67"/>
      <c r="J18" s="67"/>
      <c r="K18" s="67"/>
    </row>
    <row r="19" spans="1:11" x14ac:dyDescent="0.25">
      <c r="A19" s="67">
        <v>3</v>
      </c>
      <c r="B19" s="114">
        <f t="shared" si="0"/>
        <v>110.7421875</v>
      </c>
      <c r="C19" s="93">
        <f t="shared" si="4"/>
        <v>10.125</v>
      </c>
      <c r="D19" s="103">
        <f t="shared" si="1"/>
        <v>174.88225446428572</v>
      </c>
      <c r="E19" s="92">
        <f>(D19*KBperGB/secondsPerYear)*secondsPerBlock/1000</f>
        <v>3.3272879464285721</v>
      </c>
      <c r="F19" s="73">
        <f t="shared" si="3"/>
        <v>11.674694548872182</v>
      </c>
      <c r="G19" s="67"/>
      <c r="H19" s="67"/>
      <c r="I19" s="67"/>
      <c r="J19" s="67"/>
      <c r="K19" s="67"/>
    </row>
    <row r="20" spans="1:11" x14ac:dyDescent="0.25">
      <c r="A20" s="67">
        <v>4</v>
      </c>
      <c r="B20" s="114">
        <f t="shared" si="0"/>
        <v>138.427734375</v>
      </c>
      <c r="C20" s="93">
        <f t="shared" si="4"/>
        <v>15.1875</v>
      </c>
      <c r="D20" s="103">
        <f t="shared" si="1"/>
        <v>214.20326450892858</v>
      </c>
      <c r="E20" s="92">
        <f t="shared" si="2"/>
        <v>4.0754045758928577</v>
      </c>
      <c r="F20" s="73">
        <f t="shared" si="3"/>
        <v>14.299665178571431</v>
      </c>
      <c r="G20" s="67"/>
      <c r="H20" s="67"/>
      <c r="I20" s="67"/>
      <c r="J20" s="67"/>
      <c r="K20" s="67"/>
    </row>
    <row r="21" spans="1:11" x14ac:dyDescent="0.25">
      <c r="A21" s="67">
        <v>5</v>
      </c>
      <c r="B21" s="114">
        <f t="shared" si="0"/>
        <v>173.03466796875</v>
      </c>
      <c r="C21" s="93">
        <f t="shared" si="4"/>
        <v>22.78125</v>
      </c>
      <c r="D21" s="103">
        <f t="shared" si="1"/>
        <v>261.15475027901789</v>
      </c>
      <c r="E21" s="92">
        <f t="shared" si="2"/>
        <v>4.9686976841517865</v>
      </c>
      <c r="F21" s="73">
        <f t="shared" si="3"/>
        <v>17.434026961936091</v>
      </c>
      <c r="G21" s="67"/>
      <c r="H21" s="67"/>
      <c r="I21" s="67"/>
      <c r="J21" s="67"/>
      <c r="K21" s="67"/>
    </row>
    <row r="22" spans="1:11" x14ac:dyDescent="0.25">
      <c r="A22" s="67">
        <v>6</v>
      </c>
      <c r="B22" s="114">
        <f t="shared" si="0"/>
        <v>216.2933349609375</v>
      </c>
      <c r="C22" s="93">
        <f t="shared" si="4"/>
        <v>34.171875</v>
      </c>
      <c r="D22" s="103">
        <f t="shared" si="1"/>
        <v>316.54444231305803</v>
      </c>
      <c r="E22" s="92">
        <f t="shared" si="2"/>
        <v>6.0225350516183038</v>
      </c>
      <c r="F22" s="73">
        <f t="shared" si="3"/>
        <v>21.131701935502818</v>
      </c>
      <c r="G22" s="67"/>
      <c r="H22" s="67"/>
      <c r="I22" s="67"/>
      <c r="J22" s="67"/>
      <c r="K22" s="67"/>
    </row>
    <row r="23" spans="1:11" x14ac:dyDescent="0.25">
      <c r="A23" s="67">
        <v>7</v>
      </c>
      <c r="B23" s="114">
        <f t="shared" si="0"/>
        <v>270.36666870117187</v>
      </c>
      <c r="C23" s="93">
        <f t="shared" si="4"/>
        <v>51.2578125</v>
      </c>
      <c r="D23" s="103">
        <f t="shared" si="1"/>
        <v>380.83205958775113</v>
      </c>
      <c r="E23" s="92">
        <f t="shared" si="2"/>
        <v>7.2456632341657379</v>
      </c>
      <c r="F23" s="73">
        <f t="shared" si="3"/>
        <v>25.423379769002587</v>
      </c>
      <c r="G23" s="67"/>
      <c r="H23" s="67"/>
      <c r="I23" s="67"/>
      <c r="J23" s="67"/>
      <c r="K23" s="67"/>
    </row>
    <row r="24" spans="1:11" x14ac:dyDescent="0.25">
      <c r="A24" s="67">
        <v>8</v>
      </c>
      <c r="B24" s="114">
        <f t="shared" si="0"/>
        <v>337.95833587646484</v>
      </c>
      <c r="C24" s="93">
        <f t="shared" si="4"/>
        <v>76.88671875</v>
      </c>
      <c r="D24" s="103">
        <f t="shared" si="1"/>
        <v>453.76733452933178</v>
      </c>
      <c r="E24" s="92">
        <f t="shared" si="2"/>
        <v>8.6333206721714575</v>
      </c>
      <c r="F24" s="73">
        <f t="shared" si="3"/>
        <v>30.29235323568933</v>
      </c>
      <c r="G24" s="67"/>
      <c r="H24" s="67"/>
      <c r="I24" s="67"/>
      <c r="J24" s="67"/>
      <c r="K24" s="67"/>
    </row>
    <row r="25" spans="1:11" x14ac:dyDescent="0.25">
      <c r="A25" s="67">
        <v>9</v>
      </c>
      <c r="B25" s="114">
        <f t="shared" si="0"/>
        <v>422.44791984558105</v>
      </c>
      <c r="C25" s="93">
        <f t="shared" si="4"/>
        <v>115.330078125</v>
      </c>
      <c r="D25" s="103">
        <f t="shared" si="1"/>
        <v>533.80005822862904</v>
      </c>
      <c r="E25" s="92">
        <f t="shared" si="2"/>
        <v>10.156013284410751</v>
      </c>
      <c r="F25" s="73">
        <f t="shared" si="3"/>
        <v>35.635134331265789</v>
      </c>
      <c r="G25" s="67"/>
      <c r="H25" s="67"/>
      <c r="I25" s="67"/>
      <c r="J25" s="67"/>
      <c r="K25" s="67"/>
    </row>
    <row r="26" spans="1:11" x14ac:dyDescent="0.25">
      <c r="A26" s="67">
        <v>10</v>
      </c>
      <c r="B26" s="114">
        <f t="shared" si="0"/>
        <v>528.05989980697632</v>
      </c>
      <c r="C26" s="93">
        <f t="shared" si="4"/>
        <v>172.9951171875</v>
      </c>
      <c r="D26" s="103">
        <f t="shared" si="1"/>
        <v>617.13640788623263</v>
      </c>
      <c r="E26" s="92">
        <f t="shared" si="2"/>
        <v>11.74156027180808</v>
      </c>
      <c r="F26" s="73">
        <f t="shared" si="3"/>
        <v>41.198457094063436</v>
      </c>
      <c r="G26" s="67"/>
      <c r="H26" s="67"/>
      <c r="I26" s="67"/>
      <c r="J26" s="67"/>
      <c r="K26" s="67"/>
    </row>
    <row r="27" spans="1:11" x14ac:dyDescent="0.25">
      <c r="A27" s="67">
        <v>11</v>
      </c>
      <c r="B27" s="114">
        <f t="shared" si="0"/>
        <v>660.0748747587204</v>
      </c>
      <c r="C27" s="93">
        <f t="shared" si="4"/>
        <v>259.49267578125</v>
      </c>
      <c r="D27" s="103">
        <f t="shared" si="1"/>
        <v>696.25001250846049</v>
      </c>
      <c r="E27" s="92">
        <f t="shared" si="2"/>
        <v>13.246765839202066</v>
      </c>
      <c r="F27" s="73">
        <f t="shared" si="3"/>
        <v>46.479880137551106</v>
      </c>
      <c r="G27" s="67"/>
      <c r="H27" s="67"/>
      <c r="I27" s="67"/>
      <c r="J27" s="67"/>
      <c r="K27" s="67"/>
    </row>
    <row r="28" spans="1:11" x14ac:dyDescent="0.25">
      <c r="A28" s="67">
        <v>12</v>
      </c>
      <c r="B28" s="114">
        <f t="shared" si="0"/>
        <v>825.0935934484005</v>
      </c>
      <c r="C28" s="93">
        <f t="shared" si="4"/>
        <v>364.61267578125</v>
      </c>
      <c r="D28" s="103">
        <f t="shared" si="1"/>
        <v>800.35969023099972</v>
      </c>
      <c r="E28" s="92">
        <f t="shared" si="2"/>
        <v>15.227543573649157</v>
      </c>
      <c r="F28" s="73">
        <f t="shared" si="3"/>
        <v>53.429977451400553</v>
      </c>
      <c r="G28" s="67"/>
      <c r="H28" s="67"/>
      <c r="I28" s="67"/>
      <c r="J28" s="67"/>
      <c r="K28" s="67"/>
    </row>
    <row r="29" spans="1:11" x14ac:dyDescent="0.25">
      <c r="A29" s="67">
        <v>13</v>
      </c>
      <c r="B29" s="114">
        <f t="shared" si="0"/>
        <v>1031.3669918105006</v>
      </c>
      <c r="C29" s="93">
        <f t="shared" si="4"/>
        <v>469.73267578125001</v>
      </c>
      <c r="D29" s="103">
        <f t="shared" si="1"/>
        <v>976.17393024131661</v>
      </c>
      <c r="E29" s="92">
        <f t="shared" si="2"/>
        <v>18.572563360755645</v>
      </c>
      <c r="F29" s="73">
        <f t="shared" si="3"/>
        <v>65.166888985107519</v>
      </c>
      <c r="G29" s="67"/>
      <c r="H29" s="67"/>
      <c r="I29" s="67"/>
      <c r="J29" s="67"/>
      <c r="K29" s="67"/>
    </row>
    <row r="30" spans="1:11" x14ac:dyDescent="0.25">
      <c r="A30" s="67">
        <v>14</v>
      </c>
      <c r="B30" s="114">
        <f t="shared" si="0"/>
        <v>1289.2087397631258</v>
      </c>
      <c r="C30" s="93">
        <f t="shared" si="4"/>
        <v>574.85267578125001</v>
      </c>
      <c r="D30" s="103">
        <f t="shared" si="1"/>
        <v>1241.6188731113555</v>
      </c>
      <c r="E30" s="92">
        <f t="shared" si="2"/>
        <v>23.622885713686365</v>
      </c>
      <c r="F30" s="73">
        <f t="shared" si="3"/>
        <v>82.887318293636369</v>
      </c>
      <c r="G30" s="67"/>
      <c r="H30" s="67"/>
      <c r="I30" s="67"/>
      <c r="J30" s="67"/>
      <c r="K30" s="67"/>
    </row>
    <row r="31" spans="1:11" x14ac:dyDescent="0.25">
      <c r="A31" s="67">
        <v>15</v>
      </c>
      <c r="B31" s="114">
        <f t="shared" si="0"/>
        <v>1611.5109247039072</v>
      </c>
      <c r="C31" s="93">
        <f t="shared" si="4"/>
        <v>679.97267578125002</v>
      </c>
      <c r="D31" s="103">
        <f t="shared" si="1"/>
        <v>1619.1021945560472</v>
      </c>
      <c r="E31" s="92">
        <f t="shared" si="2"/>
        <v>30.804836273897401</v>
      </c>
      <c r="F31" s="73">
        <f t="shared" si="3"/>
        <v>108.08714482069263</v>
      </c>
      <c r="G31" s="67"/>
      <c r="H31" s="67"/>
      <c r="I31" s="67"/>
      <c r="J31" s="67"/>
      <c r="K31" s="67"/>
    </row>
    <row r="32" spans="1:11" x14ac:dyDescent="0.25">
      <c r="A32" s="67"/>
      <c r="B32" s="67"/>
      <c r="C32" s="67"/>
      <c r="D32" s="67"/>
      <c r="E32" s="67"/>
      <c r="F32" s="80"/>
      <c r="G32" s="67"/>
      <c r="H32" s="67"/>
      <c r="I32" s="67"/>
      <c r="J32" s="67"/>
      <c r="K32" s="67"/>
    </row>
    <row r="33" spans="1:12" x14ac:dyDescent="0.25">
      <c r="A33" s="71" t="s">
        <v>83</v>
      </c>
    </row>
    <row r="34" spans="1:12" s="67" customFormat="1" x14ac:dyDescent="0.25">
      <c r="A34" s="98"/>
      <c r="B34" s="99"/>
      <c r="C34" s="97"/>
      <c r="D34" s="97"/>
      <c r="E34" s="97"/>
      <c r="F34" s="97"/>
      <c r="G34" s="106" t="s">
        <v>76</v>
      </c>
      <c r="H34" s="106" t="s">
        <v>75</v>
      </c>
      <c r="I34" s="97"/>
      <c r="J34" s="97"/>
      <c r="K34" s="97"/>
      <c r="L34" s="97"/>
    </row>
    <row r="35" spans="1:12" s="67" customFormat="1" x14ac:dyDescent="0.25">
      <c r="A35" s="99" t="s">
        <v>6</v>
      </c>
      <c r="B35" s="97"/>
      <c r="C35" s="106" t="s">
        <v>2</v>
      </c>
      <c r="D35" s="106" t="s">
        <v>3</v>
      </c>
      <c r="E35" s="97"/>
      <c r="F35" s="97"/>
      <c r="G35" s="106" t="s">
        <v>57</v>
      </c>
      <c r="H35" s="106" t="s">
        <v>57</v>
      </c>
      <c r="I35" s="97"/>
      <c r="J35" s="97"/>
      <c r="K35" s="97"/>
      <c r="L35" s="97"/>
    </row>
    <row r="36" spans="1:12" s="67" customFormat="1" x14ac:dyDescent="0.25">
      <c r="A36" s="99" t="s">
        <v>80</v>
      </c>
      <c r="B36" s="130">
        <f>$B$5</f>
        <v>1</v>
      </c>
      <c r="C36" s="131">
        <f>$C$5</f>
        <v>128</v>
      </c>
      <c r="D36" s="131">
        <f>$D$5</f>
        <v>2</v>
      </c>
      <c r="E36" s="132">
        <f>$E$5</f>
        <v>200</v>
      </c>
      <c r="F36" s="145">
        <f>$F$5</f>
        <v>250</v>
      </c>
      <c r="G36" s="83">
        <f>$G$5</f>
        <v>14</v>
      </c>
      <c r="H36" s="83">
        <f>$H$5</f>
        <v>0</v>
      </c>
      <c r="I36" s="133">
        <f>$I$5</f>
        <v>7</v>
      </c>
      <c r="J36" s="133">
        <f>$J$5</f>
        <v>60</v>
      </c>
      <c r="K36" s="134">
        <f>$K$5</f>
        <v>0.75</v>
      </c>
      <c r="L36" s="134">
        <f>$L$5</f>
        <v>0.1</v>
      </c>
    </row>
    <row r="37" spans="1:12" s="67" customFormat="1" x14ac:dyDescent="0.25">
      <c r="A37" s="71"/>
    </row>
    <row r="38" spans="1:12" s="67" customFormat="1" x14ac:dyDescent="0.25">
      <c r="A38" s="71"/>
      <c r="B38" s="68" t="s">
        <v>94</v>
      </c>
      <c r="C38" s="86" t="s">
        <v>90</v>
      </c>
      <c r="D38" s="98" t="s">
        <v>95</v>
      </c>
      <c r="E38" s="98" t="s">
        <v>31</v>
      </c>
    </row>
    <row r="39" spans="1:12" s="67" customFormat="1" x14ac:dyDescent="0.25">
      <c r="A39" s="70" t="s">
        <v>7</v>
      </c>
      <c r="B39" s="68" t="s">
        <v>72</v>
      </c>
      <c r="C39" s="86" t="s">
        <v>8</v>
      </c>
      <c r="D39" s="98" t="s">
        <v>72</v>
      </c>
      <c r="E39" s="98" t="s">
        <v>32</v>
      </c>
      <c r="F39" s="68" t="s">
        <v>20</v>
      </c>
    </row>
    <row r="40" spans="1:12" s="67" customFormat="1" x14ac:dyDescent="0.25">
      <c r="A40" s="67">
        <v>0</v>
      </c>
      <c r="B40" s="114">
        <f>bandwidth10*historicalResourcePercent10*mbToGB*secondsPerYear*POWER(1+bandwidthGrowth,A40)*historicalSyncTime10/365</f>
        <v>64.800000000000011</v>
      </c>
      <c r="C40" s="72">
        <f>bandwidth10*historicalResourcePercent10*LN(1+bandwidthGrowth)*mbToGB*secondsPerYear*POWER(1+bandwidthGrowth,A40)*historicalSyncTime10/365</f>
        <v>14.459702125160796</v>
      </c>
      <c r="D40" s="114">
        <f>B40+C40*assumevalidBlockTime/365</f>
        <v>73.119280674750058</v>
      </c>
      <c r="E40" s="52">
        <f t="shared" ref="E40:E55" si="5">(B40*KBperGB/secondsPerYear)*secondsPerBlock/1000</f>
        <v>1.2328767123287676</v>
      </c>
      <c r="F40" s="73">
        <f t="shared" ref="F40:F55" si="6">E40*1000*1000/(secondsPerBlock*avgTrSize)</f>
        <v>4.3258832011535704</v>
      </c>
    </row>
    <row r="41" spans="1:12" s="67" customFormat="1" x14ac:dyDescent="0.25">
      <c r="A41" s="67">
        <v>1</v>
      </c>
      <c r="B41" s="114">
        <f t="shared" ref="B41:B55" si="7">bandwidth10*historicalResourcePercent10*mbToGB*secondsPerYear*POWER(1+bandwidthGrowth,A41)*historicalSyncTime10/365</f>
        <v>81.000000000000014</v>
      </c>
      <c r="C41" s="89">
        <f t="shared" ref="C41:C55" si="8">bandwidth10*historicalResourcePercent10*LN(1+bandwidthGrowth)*mbToGB*secondsPerYear*POWER(1+bandwidthGrowth,A41)*historicalSyncTime10/365</f>
        <v>18.074627656450993</v>
      </c>
      <c r="D41" s="114">
        <f t="shared" ref="D41:D55" si="9">B41+C41*assumevalidBlockTime/365</f>
        <v>91.399100843437566</v>
      </c>
      <c r="E41" s="52">
        <f t="shared" si="5"/>
        <v>1.5410958904109591</v>
      </c>
      <c r="F41" s="73">
        <f t="shared" si="6"/>
        <v>5.4073540014419619</v>
      </c>
    </row>
    <row r="42" spans="1:12" s="67" customFormat="1" x14ac:dyDescent="0.25">
      <c r="A42" s="67">
        <v>2</v>
      </c>
      <c r="B42" s="114">
        <f t="shared" si="7"/>
        <v>101.25000000000001</v>
      </c>
      <c r="C42" s="89">
        <f t="shared" si="8"/>
        <v>22.593284570563743</v>
      </c>
      <c r="D42" s="114">
        <f t="shared" si="9"/>
        <v>114.24887605429696</v>
      </c>
      <c r="E42" s="52">
        <f t="shared" si="5"/>
        <v>1.9263698630136989</v>
      </c>
      <c r="F42" s="73">
        <f t="shared" si="6"/>
        <v>6.7591925018024526</v>
      </c>
    </row>
    <row r="43" spans="1:12" s="67" customFormat="1" x14ac:dyDescent="0.25">
      <c r="A43" s="67">
        <v>3</v>
      </c>
      <c r="B43" s="114">
        <f t="shared" si="7"/>
        <v>126.56250000000001</v>
      </c>
      <c r="C43" s="89">
        <f t="shared" si="8"/>
        <v>28.241605713204677</v>
      </c>
      <c r="D43" s="114">
        <f t="shared" si="9"/>
        <v>142.81109506787121</v>
      </c>
      <c r="E43" s="52">
        <f t="shared" si="5"/>
        <v>2.4079623287671232</v>
      </c>
      <c r="F43" s="73">
        <f t="shared" si="6"/>
        <v>8.4489906272530639</v>
      </c>
    </row>
    <row r="44" spans="1:12" s="67" customFormat="1" x14ac:dyDescent="0.25">
      <c r="A44" s="67">
        <v>4</v>
      </c>
      <c r="B44" s="114">
        <f t="shared" si="7"/>
        <v>158.20312500000003</v>
      </c>
      <c r="C44" s="89">
        <f t="shared" si="8"/>
        <v>35.302007141505847</v>
      </c>
      <c r="D44" s="114">
        <f t="shared" si="9"/>
        <v>178.513868834839</v>
      </c>
      <c r="E44" s="52">
        <f t="shared" si="5"/>
        <v>3.0099529109589049</v>
      </c>
      <c r="F44" s="73">
        <f t="shared" si="6"/>
        <v>10.561238284066333</v>
      </c>
    </row>
    <row r="45" spans="1:12" s="67" customFormat="1" x14ac:dyDescent="0.25">
      <c r="A45" s="67">
        <v>5</v>
      </c>
      <c r="B45" s="114">
        <f t="shared" si="7"/>
        <v>197.75390625000003</v>
      </c>
      <c r="C45" s="89">
        <f t="shared" si="8"/>
        <v>44.127508926882307</v>
      </c>
      <c r="D45" s="114">
        <f t="shared" si="9"/>
        <v>223.14233604354877</v>
      </c>
      <c r="E45" s="52">
        <f t="shared" si="5"/>
        <v>3.7624411386986307</v>
      </c>
      <c r="F45" s="73">
        <f t="shared" si="6"/>
        <v>13.201547855082916</v>
      </c>
    </row>
    <row r="46" spans="1:12" s="67" customFormat="1" x14ac:dyDescent="0.25">
      <c r="A46" s="67">
        <v>6</v>
      </c>
      <c r="B46" s="114">
        <f t="shared" si="7"/>
        <v>247.19238281250003</v>
      </c>
      <c r="C46" s="89">
        <f t="shared" si="8"/>
        <v>55.159386158602885</v>
      </c>
      <c r="D46" s="114">
        <f t="shared" si="9"/>
        <v>278.92792005443596</v>
      </c>
      <c r="E46" s="52">
        <f t="shared" si="5"/>
        <v>4.7030514233732887</v>
      </c>
      <c r="F46" s="73">
        <f t="shared" si="6"/>
        <v>16.501934818853645</v>
      </c>
    </row>
    <row r="47" spans="1:12" s="67" customFormat="1" x14ac:dyDescent="0.25">
      <c r="A47" s="67">
        <v>7</v>
      </c>
      <c r="B47" s="114">
        <f t="shared" si="7"/>
        <v>308.99047851562506</v>
      </c>
      <c r="C47" s="89">
        <f t="shared" si="8"/>
        <v>68.94923269825361</v>
      </c>
      <c r="D47" s="114">
        <f t="shared" si="9"/>
        <v>348.65990006804492</v>
      </c>
      <c r="E47" s="52">
        <f t="shared" si="5"/>
        <v>5.87881427921661</v>
      </c>
      <c r="F47" s="73">
        <f t="shared" si="6"/>
        <v>20.627418523567052</v>
      </c>
    </row>
    <row r="48" spans="1:12" s="67" customFormat="1" x14ac:dyDescent="0.25">
      <c r="A48" s="67">
        <v>8</v>
      </c>
      <c r="B48" s="114">
        <f t="shared" si="7"/>
        <v>386.23809814453131</v>
      </c>
      <c r="C48" s="89">
        <f t="shared" si="8"/>
        <v>86.186540872817005</v>
      </c>
      <c r="D48" s="114">
        <f t="shared" si="9"/>
        <v>435.82487508505619</v>
      </c>
      <c r="E48" s="52">
        <f t="shared" si="5"/>
        <v>7.3485178490207623</v>
      </c>
      <c r="F48" s="73">
        <f t="shared" si="6"/>
        <v>25.784273154458816</v>
      </c>
    </row>
    <row r="49" spans="1:12" s="67" customFormat="1" x14ac:dyDescent="0.25">
      <c r="A49" s="67">
        <v>9</v>
      </c>
      <c r="B49" s="114">
        <f t="shared" si="7"/>
        <v>482.79762268066412</v>
      </c>
      <c r="C49" s="89">
        <f t="shared" si="8"/>
        <v>107.73317609102126</v>
      </c>
      <c r="D49" s="114">
        <f t="shared" si="9"/>
        <v>544.78109385632024</v>
      </c>
      <c r="E49" s="52">
        <f t="shared" si="5"/>
        <v>9.1856473112759538</v>
      </c>
      <c r="F49" s="73">
        <f t="shared" si="6"/>
        <v>32.23034144307352</v>
      </c>
    </row>
    <row r="50" spans="1:12" s="67" customFormat="1" x14ac:dyDescent="0.25">
      <c r="A50" s="67">
        <v>10</v>
      </c>
      <c r="B50" s="114">
        <f t="shared" si="7"/>
        <v>603.49702835083019</v>
      </c>
      <c r="C50" s="89">
        <f t="shared" si="8"/>
        <v>134.66647011377657</v>
      </c>
      <c r="D50" s="114">
        <f t="shared" si="9"/>
        <v>680.9763673204003</v>
      </c>
      <c r="E50" s="52">
        <f t="shared" si="5"/>
        <v>11.482059139094943</v>
      </c>
      <c r="F50" s="73">
        <f t="shared" si="6"/>
        <v>40.287926803841906</v>
      </c>
    </row>
    <row r="51" spans="1:12" s="67" customFormat="1" x14ac:dyDescent="0.25">
      <c r="A51" s="67">
        <v>11</v>
      </c>
      <c r="B51" s="114">
        <f t="shared" si="7"/>
        <v>754.37128543853771</v>
      </c>
      <c r="C51" s="89">
        <f t="shared" si="8"/>
        <v>168.3330876422207</v>
      </c>
      <c r="D51" s="114">
        <f t="shared" si="9"/>
        <v>851.22045915050035</v>
      </c>
      <c r="E51" s="52">
        <f t="shared" si="5"/>
        <v>14.352573923868679</v>
      </c>
      <c r="F51" s="73">
        <f t="shared" si="6"/>
        <v>50.359908504802384</v>
      </c>
    </row>
    <row r="52" spans="1:12" s="67" customFormat="1" x14ac:dyDescent="0.25">
      <c r="A52" s="67">
        <v>12</v>
      </c>
      <c r="B52" s="114">
        <f t="shared" si="7"/>
        <v>942.96410679817211</v>
      </c>
      <c r="C52" s="89">
        <f t="shared" si="8"/>
        <v>210.4163595527759</v>
      </c>
      <c r="D52" s="114">
        <f t="shared" si="9"/>
        <v>1064.0255739381255</v>
      </c>
      <c r="E52" s="52">
        <f t="shared" si="5"/>
        <v>17.940717404835848</v>
      </c>
      <c r="F52" s="73">
        <f t="shared" si="6"/>
        <v>62.949885631002971</v>
      </c>
    </row>
    <row r="53" spans="1:12" s="67" customFormat="1" x14ac:dyDescent="0.25">
      <c r="A53" s="67">
        <v>13</v>
      </c>
      <c r="B53" s="114">
        <f t="shared" si="7"/>
        <v>1178.7051334977152</v>
      </c>
      <c r="C53" s="89">
        <f t="shared" si="8"/>
        <v>263.02044944096986</v>
      </c>
      <c r="D53" s="114">
        <f t="shared" si="9"/>
        <v>1330.0319674226569</v>
      </c>
      <c r="E53" s="52">
        <f t="shared" si="5"/>
        <v>22.425896756044811</v>
      </c>
      <c r="F53" s="73">
        <f t="shared" si="6"/>
        <v>78.687357038753731</v>
      </c>
    </row>
    <row r="54" spans="1:12" s="67" customFormat="1" x14ac:dyDescent="0.25">
      <c r="A54" s="67">
        <v>14</v>
      </c>
      <c r="B54" s="114">
        <f t="shared" si="7"/>
        <v>1473.381416872144</v>
      </c>
      <c r="C54" s="89">
        <f t="shared" si="8"/>
        <v>328.77556180121235</v>
      </c>
      <c r="D54" s="114">
        <f t="shared" si="9"/>
        <v>1662.539959278321</v>
      </c>
      <c r="E54" s="52">
        <f t="shared" si="5"/>
        <v>28.032370945056012</v>
      </c>
      <c r="F54" s="73">
        <f t="shared" si="6"/>
        <v>98.359196298442157</v>
      </c>
    </row>
    <row r="55" spans="1:12" s="67" customFormat="1" x14ac:dyDescent="0.25">
      <c r="A55" s="67">
        <v>15</v>
      </c>
      <c r="B55" s="114">
        <f t="shared" si="7"/>
        <v>1841.7267710901799</v>
      </c>
      <c r="C55" s="89">
        <f t="shared" si="8"/>
        <v>410.96945225151546</v>
      </c>
      <c r="D55" s="114">
        <f t="shared" si="9"/>
        <v>2078.1749490979009</v>
      </c>
      <c r="E55" s="52">
        <f t="shared" si="5"/>
        <v>35.040463681320013</v>
      </c>
      <c r="F55" s="73">
        <f t="shared" si="6"/>
        <v>122.94899537305267</v>
      </c>
    </row>
    <row r="56" spans="1:12" s="36" customFormat="1" x14ac:dyDescent="0.25"/>
    <row r="57" spans="1:12" x14ac:dyDescent="0.25">
      <c r="A57" s="71" t="s">
        <v>89</v>
      </c>
    </row>
    <row r="58" spans="1:12" s="67" customFormat="1" x14ac:dyDescent="0.25">
      <c r="A58" s="98"/>
      <c r="B58" s="99"/>
      <c r="C58" s="97"/>
      <c r="D58" s="97"/>
      <c r="E58" s="97"/>
      <c r="F58" s="97"/>
      <c r="G58" s="106" t="s">
        <v>76</v>
      </c>
      <c r="H58" s="106" t="s">
        <v>75</v>
      </c>
      <c r="I58" s="97"/>
      <c r="J58" s="97"/>
      <c r="K58" s="97"/>
      <c r="L58" s="97"/>
    </row>
    <row r="59" spans="1:12" s="67" customFormat="1" x14ac:dyDescent="0.25">
      <c r="A59" s="99" t="s">
        <v>6</v>
      </c>
      <c r="B59" s="97"/>
      <c r="C59" s="106" t="s">
        <v>2</v>
      </c>
      <c r="D59" s="106" t="s">
        <v>3</v>
      </c>
      <c r="E59" s="97"/>
      <c r="F59" s="192"/>
      <c r="G59" s="106" t="s">
        <v>57</v>
      </c>
      <c r="H59" s="106" t="s">
        <v>57</v>
      </c>
      <c r="I59" s="97"/>
      <c r="J59" s="97"/>
      <c r="K59" s="97"/>
      <c r="L59" s="97"/>
    </row>
    <row r="60" spans="1:12" s="67" customFormat="1" x14ac:dyDescent="0.25">
      <c r="A60" s="99" t="s">
        <v>80</v>
      </c>
      <c r="B60" s="130">
        <f>$B$5</f>
        <v>1</v>
      </c>
      <c r="C60" s="131">
        <f>$C$5</f>
        <v>128</v>
      </c>
      <c r="D60" s="131">
        <f>$D$5</f>
        <v>2</v>
      </c>
      <c r="E60" s="132">
        <f>$E$5</f>
        <v>200</v>
      </c>
      <c r="F60" s="145">
        <f>$F$5</f>
        <v>250</v>
      </c>
      <c r="G60" s="83">
        <f>$G$5</f>
        <v>14</v>
      </c>
      <c r="H60" s="83">
        <f>$H$5</f>
        <v>0</v>
      </c>
      <c r="I60" s="133">
        <f>$I$5</f>
        <v>7</v>
      </c>
      <c r="J60" s="133">
        <f>$J$5</f>
        <v>60</v>
      </c>
      <c r="K60" s="134">
        <f>$K$5</f>
        <v>0.75</v>
      </c>
      <c r="L60" s="134">
        <f>$L$5</f>
        <v>0.1</v>
      </c>
    </row>
    <row r="61" spans="1:12" s="67" customFormat="1" x14ac:dyDescent="0.25">
      <c r="A61" s="71"/>
      <c r="F61" s="182"/>
    </row>
    <row r="62" spans="1:12" s="67" customFormat="1" x14ac:dyDescent="0.25">
      <c r="B62" s="86" t="s">
        <v>31</v>
      </c>
      <c r="C62" s="86" t="s">
        <v>90</v>
      </c>
    </row>
    <row r="63" spans="1:12" s="67" customFormat="1" x14ac:dyDescent="0.25">
      <c r="A63" s="70" t="s">
        <v>7</v>
      </c>
      <c r="B63" s="86" t="s">
        <v>28</v>
      </c>
      <c r="C63" s="86" t="s">
        <v>8</v>
      </c>
      <c r="D63" s="86" t="s">
        <v>17</v>
      </c>
      <c r="E63" s="86" t="s">
        <v>20</v>
      </c>
    </row>
    <row r="64" spans="1:12" s="67" customFormat="1" x14ac:dyDescent="0.25">
      <c r="A64" s="67">
        <v>0</v>
      </c>
      <c r="B64" s="84">
        <f>throughput11*syncResourcePercent11*POWER(1+cpuGrowth,A64)*recentSyncTime11*secondsPerYear/365/1000/1000</f>
        <v>90.72</v>
      </c>
      <c r="C64" s="66">
        <f>(B64*1000*1000)*(avgTrSize/1000/KBperGB)*(365/assumevalidBlockTime)</f>
        <v>74.897999999999996</v>
      </c>
      <c r="D64" s="65">
        <f t="shared" ref="D64:D79" si="10">(C64*KBperGB/secondsPerYear)*secondsPerBlock/1000</f>
        <v>1.425</v>
      </c>
      <c r="E64" s="90">
        <f t="shared" ref="E64:E79" si="11">D64*1000*1000/(secondsPerBlock*avgTrSize)</f>
        <v>5</v>
      </c>
    </row>
    <row r="65" spans="1:5" s="67" customFormat="1" x14ac:dyDescent="0.25">
      <c r="A65" s="67">
        <v>1</v>
      </c>
      <c r="B65" s="84">
        <f t="shared" ref="B65:B79" si="12">throughput11*syncResourcePercent11*POWER(1+cpuGrowth,A65)*recentSyncTime11*secondsPerYear/365/1000/1000</f>
        <v>106.14239999999999</v>
      </c>
      <c r="C65" s="66">
        <f>(B65*1000*1000)*(avgTrSize/1000/KBperGB)*(365/assumevalidBlockTime)</f>
        <v>87.630659999999992</v>
      </c>
      <c r="D65" s="65">
        <f t="shared" si="10"/>
        <v>1.6672499999999997</v>
      </c>
      <c r="E65" s="90">
        <f t="shared" si="11"/>
        <v>5.8499999999999988</v>
      </c>
    </row>
    <row r="66" spans="1:5" s="67" customFormat="1" x14ac:dyDescent="0.25">
      <c r="A66" s="67">
        <v>2</v>
      </c>
      <c r="B66" s="84">
        <f t="shared" si="12"/>
        <v>124.18660799999998</v>
      </c>
      <c r="C66" s="66">
        <f t="shared" ref="C66:C79" si="13">(B66*1000*1000)*(avgTrSize/1000/KBperGB)*(365/assumevalidBlockTime)</f>
        <v>102.52787219999999</v>
      </c>
      <c r="D66" s="65">
        <f t="shared" si="10"/>
        <v>1.9506824999999997</v>
      </c>
      <c r="E66" s="90">
        <f t="shared" si="11"/>
        <v>6.8444999999999991</v>
      </c>
    </row>
    <row r="67" spans="1:5" s="67" customFormat="1" x14ac:dyDescent="0.25">
      <c r="A67" s="67">
        <v>3</v>
      </c>
      <c r="B67" s="84">
        <f t="shared" si="12"/>
        <v>145.29833135999999</v>
      </c>
      <c r="C67" s="66">
        <f t="shared" si="13"/>
        <v>119.95761047399998</v>
      </c>
      <c r="D67" s="65">
        <f t="shared" si="10"/>
        <v>2.2822985249999999</v>
      </c>
      <c r="E67" s="90">
        <f t="shared" si="11"/>
        <v>8.0080650000000002</v>
      </c>
    </row>
    <row r="68" spans="1:5" s="67" customFormat="1" x14ac:dyDescent="0.25">
      <c r="A68" s="67">
        <v>4</v>
      </c>
      <c r="B68" s="84">
        <f t="shared" si="12"/>
        <v>169.99904769119996</v>
      </c>
      <c r="C68" s="66">
        <f t="shared" si="13"/>
        <v>140.35040425457996</v>
      </c>
      <c r="D68" s="65">
        <f t="shared" si="10"/>
        <v>2.6702892742499995</v>
      </c>
      <c r="E68" s="90">
        <f t="shared" si="11"/>
        <v>9.3694360499999974</v>
      </c>
    </row>
    <row r="69" spans="1:5" s="67" customFormat="1" x14ac:dyDescent="0.25">
      <c r="A69" s="67">
        <v>5</v>
      </c>
      <c r="B69" s="84">
        <f t="shared" si="12"/>
        <v>198.8988857987039</v>
      </c>
      <c r="C69" s="66">
        <f t="shared" si="13"/>
        <v>164.20997297785851</v>
      </c>
      <c r="D69" s="65">
        <f t="shared" si="10"/>
        <v>3.1242384508724981</v>
      </c>
      <c r="E69" s="90">
        <f t="shared" si="11"/>
        <v>10.962240178499993</v>
      </c>
    </row>
    <row r="70" spans="1:5" s="67" customFormat="1" x14ac:dyDescent="0.25">
      <c r="A70" s="67">
        <v>6</v>
      </c>
      <c r="B70" s="84">
        <f t="shared" si="12"/>
        <v>232.71169638448356</v>
      </c>
      <c r="C70" s="66">
        <f t="shared" si="13"/>
        <v>192.12566838409447</v>
      </c>
      <c r="D70" s="65">
        <f t="shared" si="10"/>
        <v>3.6553589875208234</v>
      </c>
      <c r="E70" s="90">
        <f t="shared" si="11"/>
        <v>12.825821008844995</v>
      </c>
    </row>
    <row r="71" spans="1:5" s="67" customFormat="1" x14ac:dyDescent="0.25">
      <c r="A71" s="67">
        <v>7</v>
      </c>
      <c r="B71" s="84">
        <f t="shared" si="12"/>
        <v>272.27268476984574</v>
      </c>
      <c r="C71" s="66">
        <f t="shared" si="13"/>
        <v>224.78703200939046</v>
      </c>
      <c r="D71" s="65">
        <f t="shared" si="10"/>
        <v>4.2767700153993609</v>
      </c>
      <c r="E71" s="90">
        <f t="shared" si="11"/>
        <v>15.006210580348634</v>
      </c>
    </row>
    <row r="72" spans="1:5" s="67" customFormat="1" x14ac:dyDescent="0.25">
      <c r="A72" s="67">
        <v>8</v>
      </c>
      <c r="B72" s="84">
        <f t="shared" si="12"/>
        <v>318.55904118071953</v>
      </c>
      <c r="C72" s="66">
        <f t="shared" si="13"/>
        <v>263.00082745098683</v>
      </c>
      <c r="D72" s="65">
        <f t="shared" si="10"/>
        <v>5.0038209180172526</v>
      </c>
      <c r="E72" s="90">
        <f t="shared" si="11"/>
        <v>17.557266379007903</v>
      </c>
    </row>
    <row r="73" spans="1:5" s="67" customFormat="1" x14ac:dyDescent="0.25">
      <c r="A73" s="67">
        <v>9</v>
      </c>
      <c r="B73" s="84">
        <f t="shared" si="12"/>
        <v>372.71407818144178</v>
      </c>
      <c r="C73" s="66">
        <f t="shared" si="13"/>
        <v>307.7109681176546</v>
      </c>
      <c r="D73" s="65">
        <f t="shared" si="10"/>
        <v>5.8544704740801858</v>
      </c>
      <c r="E73" s="90">
        <f t="shared" si="11"/>
        <v>20.542001663439251</v>
      </c>
    </row>
    <row r="74" spans="1:5" s="67" customFormat="1" x14ac:dyDescent="0.25">
      <c r="A74" s="67">
        <v>10</v>
      </c>
      <c r="B74" s="84">
        <f t="shared" si="12"/>
        <v>436.07547147228695</v>
      </c>
      <c r="C74" s="66">
        <f t="shared" si="13"/>
        <v>360.0218326976559</v>
      </c>
      <c r="D74" s="65">
        <f t="shared" si="10"/>
        <v>6.8497304546738187</v>
      </c>
      <c r="E74" s="90">
        <f t="shared" si="11"/>
        <v>24.034141946223922</v>
      </c>
    </row>
    <row r="75" spans="1:5" s="67" customFormat="1" x14ac:dyDescent="0.25">
      <c r="A75" s="67">
        <v>11</v>
      </c>
      <c r="B75" s="84">
        <f t="shared" si="12"/>
        <v>510.20830162257562</v>
      </c>
      <c r="C75" s="66">
        <f t="shared" si="13"/>
        <v>421.22554425625736</v>
      </c>
      <c r="D75" s="65">
        <f t="shared" si="10"/>
        <v>8.0141846319683676</v>
      </c>
      <c r="E75" s="90">
        <f t="shared" si="11"/>
        <v>28.119946077081988</v>
      </c>
    </row>
    <row r="76" spans="1:5" s="67" customFormat="1" x14ac:dyDescent="0.25">
      <c r="A76" s="67">
        <v>12</v>
      </c>
      <c r="B76" s="84">
        <f t="shared" si="12"/>
        <v>596.94371289841342</v>
      </c>
      <c r="C76" s="66">
        <f t="shared" si="13"/>
        <v>492.83388677982106</v>
      </c>
      <c r="D76" s="65">
        <f t="shared" si="10"/>
        <v>9.3765960194029869</v>
      </c>
      <c r="E76" s="90">
        <f t="shared" si="11"/>
        <v>32.900336910185921</v>
      </c>
    </row>
    <row r="77" spans="1:5" s="67" customFormat="1" x14ac:dyDescent="0.25">
      <c r="A77" s="67">
        <v>13</v>
      </c>
      <c r="B77" s="84">
        <f t="shared" si="12"/>
        <v>698.4241440911436</v>
      </c>
      <c r="C77" s="66">
        <f t="shared" si="13"/>
        <v>576.61564753239054</v>
      </c>
      <c r="D77" s="65">
        <f t="shared" si="10"/>
        <v>10.970617342701495</v>
      </c>
      <c r="E77" s="90">
        <f t="shared" si="11"/>
        <v>38.493394184917527</v>
      </c>
    </row>
    <row r="78" spans="1:5" s="67" customFormat="1" x14ac:dyDescent="0.25">
      <c r="A78" s="67">
        <v>14</v>
      </c>
      <c r="B78" s="84">
        <f t="shared" si="12"/>
        <v>817.15624858663818</v>
      </c>
      <c r="C78" s="66">
        <f t="shared" si="13"/>
        <v>674.640307612897</v>
      </c>
      <c r="D78" s="65">
        <f t="shared" si="10"/>
        <v>12.835622290960751</v>
      </c>
      <c r="E78" s="90">
        <f t="shared" si="11"/>
        <v>45.037271196353515</v>
      </c>
    </row>
    <row r="79" spans="1:5" s="67" customFormat="1" x14ac:dyDescent="0.25">
      <c r="A79" s="67">
        <v>15</v>
      </c>
      <c r="B79" s="84">
        <f t="shared" si="12"/>
        <v>956.07281084636656</v>
      </c>
      <c r="C79" s="66">
        <f t="shared" si="13"/>
        <v>789.32915990708943</v>
      </c>
      <c r="D79" s="65">
        <f t="shared" si="10"/>
        <v>15.017678080424076</v>
      </c>
      <c r="E79" s="90">
        <f t="shared" si="11"/>
        <v>52.693607299733607</v>
      </c>
    </row>
    <row r="80" spans="1:5" s="67" customFormat="1" x14ac:dyDescent="0.25">
      <c r="A80" s="71"/>
    </row>
    <row r="81" spans="1:12" x14ac:dyDescent="0.25">
      <c r="A81" s="71" t="s">
        <v>84</v>
      </c>
    </row>
    <row r="82" spans="1:12" s="85" customFormat="1" x14ac:dyDescent="0.25">
      <c r="A82" s="98"/>
      <c r="B82" s="99"/>
      <c r="C82" s="97"/>
      <c r="D82" s="97"/>
      <c r="E82" s="97"/>
      <c r="F82" s="97"/>
      <c r="G82" s="106" t="s">
        <v>76</v>
      </c>
      <c r="H82" s="106" t="s">
        <v>75</v>
      </c>
      <c r="I82" s="97"/>
      <c r="J82" s="97"/>
      <c r="K82" s="97"/>
      <c r="L82" s="97"/>
    </row>
    <row r="83" spans="1:12" s="85" customFormat="1" x14ac:dyDescent="0.25">
      <c r="A83" s="99" t="s">
        <v>6</v>
      </c>
      <c r="B83" s="97"/>
      <c r="C83" s="106" t="s">
        <v>2</v>
      </c>
      <c r="D83" s="106" t="s">
        <v>3</v>
      </c>
      <c r="E83" s="97"/>
      <c r="F83" s="97"/>
      <c r="G83" s="106" t="s">
        <v>57</v>
      </c>
      <c r="H83" s="106" t="s">
        <v>57</v>
      </c>
      <c r="I83" s="97"/>
      <c r="J83" s="97"/>
      <c r="K83" s="97"/>
      <c r="L83" s="97"/>
    </row>
    <row r="84" spans="1:12" s="85" customFormat="1" x14ac:dyDescent="0.25">
      <c r="A84" s="99" t="s">
        <v>80</v>
      </c>
      <c r="B84" s="130">
        <f>$B$5</f>
        <v>1</v>
      </c>
      <c r="C84" s="131">
        <f>$C$5</f>
        <v>128</v>
      </c>
      <c r="D84" s="131">
        <f>$D$5</f>
        <v>2</v>
      </c>
      <c r="E84" s="132">
        <f>$E$5</f>
        <v>200</v>
      </c>
      <c r="F84" s="145">
        <f>$F$5</f>
        <v>250</v>
      </c>
      <c r="G84" s="83">
        <f>$G$5</f>
        <v>14</v>
      </c>
      <c r="H84" s="83">
        <f>$H$5</f>
        <v>0</v>
      </c>
      <c r="I84" s="133">
        <f>$I$5</f>
        <v>7</v>
      </c>
      <c r="J84" s="133">
        <f>$J$5</f>
        <v>60</v>
      </c>
      <c r="K84" s="134">
        <f>$K$5</f>
        <v>0.75</v>
      </c>
      <c r="L84" s="134">
        <f>$L$5</f>
        <v>0.1</v>
      </c>
    </row>
    <row r="86" spans="1:12" s="85" customFormat="1" x14ac:dyDescent="0.25">
      <c r="A86" s="88"/>
      <c r="B86" s="86" t="s">
        <v>31</v>
      </c>
      <c r="C86" s="86" t="s">
        <v>90</v>
      </c>
      <c r="D86" s="98" t="s">
        <v>95</v>
      </c>
      <c r="F86" s="86" t="s">
        <v>31</v>
      </c>
    </row>
    <row r="87" spans="1:12" s="85" customFormat="1" x14ac:dyDescent="0.25">
      <c r="A87" s="87" t="s">
        <v>7</v>
      </c>
      <c r="B87" s="86" t="s">
        <v>28</v>
      </c>
      <c r="C87" s="86" t="s">
        <v>8</v>
      </c>
      <c r="D87" s="98" t="s">
        <v>72</v>
      </c>
      <c r="E87" s="86" t="s">
        <v>20</v>
      </c>
      <c r="F87" s="86" t="s">
        <v>32</v>
      </c>
    </row>
    <row r="88" spans="1:12" s="85" customFormat="1" x14ac:dyDescent="0.25">
      <c r="A88" s="85">
        <v>0</v>
      </c>
      <c r="B88" s="84">
        <f t="shared" ref="B88:B103" si="14">throughput12*historicalResourcePercent12*POWER(1+cpuGrowth,A88)*(historicalSyncTime12/365)*secondsPerYear/1000/1000</f>
        <v>103.68</v>
      </c>
      <c r="C88" s="94">
        <f t="shared" ref="C88:C103" si="15">throughput12*historicalResourcePercent12*LN(1+cpuGrowth)*POWER(1+cpuGrowth,A88)*(historicalSyncTime12/365)*secondsPerYear/1000/1000</f>
        <v>16.278148676586039</v>
      </c>
      <c r="D88" s="114">
        <f t="shared" ref="D88:D103" si="16">((B88+C88*assumevalidBlockTime/365)*1000*1000)*avgTrSize/(KBperGB*1000)</f>
        <v>53.696617343806729</v>
      </c>
      <c r="E88" s="90">
        <f t="shared" ref="E88:E103" si="17">(C88*1000*1000)*(avgTrSize/1000)/KBperGB</f>
        <v>7.7321206213783684</v>
      </c>
      <c r="F88" s="92">
        <f t="shared" ref="F88:F103" si="18">E88*secondsPerBlock*avgTrSize/1000/1000</f>
        <v>2.203654377092835</v>
      </c>
    </row>
    <row r="89" spans="1:12" s="85" customFormat="1" x14ac:dyDescent="0.25">
      <c r="A89" s="85">
        <v>1</v>
      </c>
      <c r="B89" s="84">
        <f t="shared" si="14"/>
        <v>121.3056</v>
      </c>
      <c r="C89" s="94">
        <f t="shared" si="15"/>
        <v>19.045433951605659</v>
      </c>
      <c r="D89" s="114">
        <f t="shared" si="16"/>
        <v>62.825042292253883</v>
      </c>
      <c r="E89" s="90">
        <f t="shared" si="17"/>
        <v>9.0465811270126864</v>
      </c>
      <c r="F89" s="92">
        <f t="shared" si="18"/>
        <v>2.5782756211986162</v>
      </c>
    </row>
    <row r="90" spans="1:12" s="85" customFormat="1" x14ac:dyDescent="0.25">
      <c r="A90" s="85">
        <v>2</v>
      </c>
      <c r="B90" s="84">
        <f t="shared" si="14"/>
        <v>141.92755199999996</v>
      </c>
      <c r="C90" s="94">
        <f t="shared" si="15"/>
        <v>22.283157723378618</v>
      </c>
      <c r="D90" s="114">
        <f t="shared" si="16"/>
        <v>73.50529948193703</v>
      </c>
      <c r="E90" s="90">
        <f t="shared" si="17"/>
        <v>10.584499918604845</v>
      </c>
      <c r="F90" s="92">
        <f t="shared" si="18"/>
        <v>3.0165824768023808</v>
      </c>
    </row>
    <row r="91" spans="1:12" s="85" customFormat="1" x14ac:dyDescent="0.25">
      <c r="A91" s="85">
        <v>3</v>
      </c>
      <c r="B91" s="84">
        <f t="shared" si="14"/>
        <v>166.05523583999997</v>
      </c>
      <c r="C91" s="94">
        <f t="shared" si="15"/>
        <v>26.071294536352983</v>
      </c>
      <c r="D91" s="114">
        <f t="shared" si="16"/>
        <v>86.001200393866313</v>
      </c>
      <c r="E91" s="90">
        <f t="shared" si="17"/>
        <v>12.383864904767668</v>
      </c>
      <c r="F91" s="92">
        <f t="shared" si="18"/>
        <v>3.5294014978587858</v>
      </c>
    </row>
    <row r="92" spans="1:12" s="85" customFormat="1" x14ac:dyDescent="0.25">
      <c r="A92" s="85">
        <v>4</v>
      </c>
      <c r="B92" s="84">
        <f t="shared" si="14"/>
        <v>194.28462593279994</v>
      </c>
      <c r="C92" s="94">
        <f t="shared" si="15"/>
        <v>30.503414607532989</v>
      </c>
      <c r="D92" s="114">
        <f t="shared" si="16"/>
        <v>100.62140446082358</v>
      </c>
      <c r="E92" s="90">
        <f t="shared" si="17"/>
        <v>14.489121938578171</v>
      </c>
      <c r="F92" s="92">
        <f t="shared" si="18"/>
        <v>4.1293997524947779</v>
      </c>
    </row>
    <row r="93" spans="1:12" s="85" customFormat="1" x14ac:dyDescent="0.25">
      <c r="A93" s="85">
        <v>5</v>
      </c>
      <c r="B93" s="84">
        <f t="shared" si="14"/>
        <v>227.31301234137592</v>
      </c>
      <c r="C93" s="94">
        <f t="shared" si="15"/>
        <v>35.688995090813592</v>
      </c>
      <c r="D93" s="114">
        <f t="shared" si="16"/>
        <v>117.72704321916356</v>
      </c>
      <c r="E93" s="90">
        <f t="shared" si="17"/>
        <v>16.952272668136455</v>
      </c>
      <c r="F93" s="92">
        <f t="shared" si="18"/>
        <v>4.8313977104188899</v>
      </c>
    </row>
    <row r="94" spans="1:12" s="85" customFormat="1" x14ac:dyDescent="0.25">
      <c r="A94" s="85">
        <v>6</v>
      </c>
      <c r="B94" s="84">
        <f t="shared" si="14"/>
        <v>265.95622443940977</v>
      </c>
      <c r="C94" s="94">
        <f t="shared" si="15"/>
        <v>41.756124256251908</v>
      </c>
      <c r="D94" s="114">
        <f t="shared" si="16"/>
        <v>137.74064056642135</v>
      </c>
      <c r="E94" s="90">
        <f t="shared" si="17"/>
        <v>19.834159021719657</v>
      </c>
      <c r="F94" s="92">
        <f t="shared" si="18"/>
        <v>5.6527353211901019</v>
      </c>
    </row>
    <row r="95" spans="1:12" s="85" customFormat="1" x14ac:dyDescent="0.25">
      <c r="A95" s="85">
        <v>7</v>
      </c>
      <c r="B95" s="84">
        <f t="shared" si="14"/>
        <v>311.16878259410947</v>
      </c>
      <c r="C95" s="94">
        <f t="shared" si="15"/>
        <v>48.854665379814733</v>
      </c>
      <c r="D95" s="114">
        <f t="shared" si="16"/>
        <v>161.15654946271297</v>
      </c>
      <c r="E95" s="90">
        <f t="shared" si="17"/>
        <v>23.205966055411995</v>
      </c>
      <c r="F95" s="92">
        <f t="shared" si="18"/>
        <v>6.6137003257924176</v>
      </c>
    </row>
    <row r="96" spans="1:12" s="85" customFormat="1" x14ac:dyDescent="0.25">
      <c r="A96" s="85">
        <v>8</v>
      </c>
      <c r="B96" s="84">
        <f t="shared" si="14"/>
        <v>364.067475635108</v>
      </c>
      <c r="C96" s="94">
        <f t="shared" si="15"/>
        <v>57.159958494383218</v>
      </c>
      <c r="D96" s="114">
        <f t="shared" si="16"/>
        <v>188.55316287137416</v>
      </c>
      <c r="E96" s="90">
        <f t="shared" si="17"/>
        <v>27.150980284832027</v>
      </c>
      <c r="F96" s="92">
        <f t="shared" si="18"/>
        <v>7.7380293811771281</v>
      </c>
    </row>
    <row r="97" spans="1:8" s="85" customFormat="1" x14ac:dyDescent="0.25">
      <c r="A97" s="85">
        <v>9</v>
      </c>
      <c r="B97" s="84">
        <f t="shared" si="14"/>
        <v>425.95894649307633</v>
      </c>
      <c r="C97" s="94">
        <f t="shared" si="15"/>
        <v>66.877151438428356</v>
      </c>
      <c r="D97" s="114">
        <f t="shared" si="16"/>
        <v>220.60720055950776</v>
      </c>
      <c r="E97" s="90">
        <f t="shared" si="17"/>
        <v>31.766646933253462</v>
      </c>
      <c r="F97" s="92">
        <f t="shared" si="18"/>
        <v>9.0534943759772357</v>
      </c>
    </row>
    <row r="98" spans="1:8" s="85" customFormat="1" x14ac:dyDescent="0.25">
      <c r="A98" s="85">
        <v>10</v>
      </c>
      <c r="B98" s="84">
        <f t="shared" si="14"/>
        <v>498.37196739689938</v>
      </c>
      <c r="C98" s="94">
        <f t="shared" si="15"/>
        <v>78.246267182961176</v>
      </c>
      <c r="D98" s="114">
        <f t="shared" si="16"/>
        <v>258.11042465462413</v>
      </c>
      <c r="E98" s="90">
        <f t="shared" si="17"/>
        <v>37.166976911906566</v>
      </c>
      <c r="F98" s="92">
        <f t="shared" si="18"/>
        <v>10.592588419893371</v>
      </c>
    </row>
    <row r="99" spans="1:8" s="85" customFormat="1" x14ac:dyDescent="0.25">
      <c r="A99" s="85">
        <v>11</v>
      </c>
      <c r="B99" s="84">
        <f t="shared" si="14"/>
        <v>583.09520185437214</v>
      </c>
      <c r="C99" s="94">
        <f t="shared" si="15"/>
        <v>91.548132604064577</v>
      </c>
      <c r="D99" s="114">
        <f t="shared" si="16"/>
        <v>301.98919684591021</v>
      </c>
      <c r="E99" s="90">
        <f t="shared" si="17"/>
        <v>43.485362986930674</v>
      </c>
      <c r="F99" s="92">
        <f t="shared" si="18"/>
        <v>12.393328451275242</v>
      </c>
    </row>
    <row r="100" spans="1:8" s="85" customFormat="1" x14ac:dyDescent="0.25">
      <c r="A100" s="85">
        <v>12</v>
      </c>
      <c r="B100" s="84">
        <f t="shared" si="14"/>
        <v>682.22138616961536</v>
      </c>
      <c r="C100" s="94">
        <f t="shared" si="15"/>
        <v>107.11131514675554</v>
      </c>
      <c r="D100" s="114">
        <f t="shared" si="16"/>
        <v>353.32736030971489</v>
      </c>
      <c r="E100" s="90">
        <f t="shared" si="17"/>
        <v>50.877874694708886</v>
      </c>
      <c r="F100" s="92">
        <f t="shared" si="18"/>
        <v>14.500194287992032</v>
      </c>
    </row>
    <row r="101" spans="1:8" s="85" customFormat="1" x14ac:dyDescent="0.25">
      <c r="A101" s="85">
        <v>13</v>
      </c>
      <c r="B101" s="84">
        <f t="shared" si="14"/>
        <v>798.19902181844975</v>
      </c>
      <c r="C101" s="94">
        <f t="shared" si="15"/>
        <v>125.32023872170397</v>
      </c>
      <c r="D101" s="114">
        <f t="shared" si="16"/>
        <v>413.39301156236627</v>
      </c>
      <c r="E101" s="90">
        <f t="shared" si="17"/>
        <v>59.527113392809383</v>
      </c>
      <c r="F101" s="92">
        <f t="shared" si="18"/>
        <v>16.965227316950674</v>
      </c>
    </row>
    <row r="102" spans="1:8" s="85" customFormat="1" x14ac:dyDescent="0.25">
      <c r="A102" s="85">
        <v>14</v>
      </c>
      <c r="B102" s="84">
        <f t="shared" si="14"/>
        <v>933.89285552758622</v>
      </c>
      <c r="C102" s="94">
        <f t="shared" si="15"/>
        <v>146.62467930439365</v>
      </c>
      <c r="D102" s="114">
        <f t="shared" si="16"/>
        <v>483.66982352796862</v>
      </c>
      <c r="E102" s="90">
        <f t="shared" si="17"/>
        <v>69.646722669586993</v>
      </c>
      <c r="F102" s="92">
        <f t="shared" si="18"/>
        <v>19.849315960832293</v>
      </c>
    </row>
    <row r="103" spans="1:8" s="85" customFormat="1" x14ac:dyDescent="0.25">
      <c r="A103" s="85">
        <v>15</v>
      </c>
      <c r="B103" s="84">
        <f t="shared" si="14"/>
        <v>1092.654640967276</v>
      </c>
      <c r="C103" s="94">
        <f t="shared" si="15"/>
        <v>171.55087478614055</v>
      </c>
      <c r="D103" s="114">
        <f t="shared" si="16"/>
        <v>565.89369352772326</v>
      </c>
      <c r="E103" s="90">
        <f t="shared" si="17"/>
        <v>81.486665523416747</v>
      </c>
      <c r="F103" s="92">
        <f t="shared" si="18"/>
        <v>23.223699674173773</v>
      </c>
    </row>
    <row r="105" spans="1:8" x14ac:dyDescent="0.25">
      <c r="A105" s="102" t="s">
        <v>91</v>
      </c>
      <c r="B105" s="97"/>
      <c r="C105" s="97"/>
    </row>
    <row r="106" spans="1:8" s="97" customFormat="1" x14ac:dyDescent="0.25">
      <c r="A106" s="102"/>
      <c r="D106" s="98"/>
      <c r="E106" s="98"/>
      <c r="F106" s="98" t="s">
        <v>31</v>
      </c>
      <c r="G106" s="98" t="s">
        <v>31</v>
      </c>
      <c r="H106" s="98" t="s">
        <v>31</v>
      </c>
    </row>
    <row r="107" spans="1:8" s="97" customFormat="1" x14ac:dyDescent="0.25">
      <c r="A107" s="102"/>
      <c r="D107" s="98" t="s">
        <v>67</v>
      </c>
      <c r="E107" s="98" t="s">
        <v>68</v>
      </c>
      <c r="F107" s="98" t="s">
        <v>32</v>
      </c>
      <c r="G107" s="98" t="s">
        <v>93</v>
      </c>
      <c r="H107" s="98" t="s">
        <v>35</v>
      </c>
    </row>
    <row r="108" spans="1:8" s="97" customFormat="1" x14ac:dyDescent="0.25">
      <c r="A108" s="178" t="s">
        <v>5</v>
      </c>
      <c r="B108" s="178"/>
      <c r="C108" s="178"/>
      <c r="D108" s="110" t="s">
        <v>80</v>
      </c>
      <c r="E108" s="111">
        <v>0.8446313225664035</v>
      </c>
      <c r="F108" s="96">
        <v>240.71992693142499</v>
      </c>
      <c r="G108" s="115">
        <v>56.7</v>
      </c>
      <c r="H108" s="116"/>
    </row>
    <row r="109" spans="1:8" s="97" customFormat="1" x14ac:dyDescent="0.25">
      <c r="A109" s="178" t="s">
        <v>71</v>
      </c>
      <c r="B109" s="178"/>
      <c r="C109" s="178"/>
      <c r="D109" s="110" t="s">
        <v>80</v>
      </c>
      <c r="E109" s="111">
        <v>4.9000000000000004</v>
      </c>
      <c r="F109" s="112">
        <v>1396.5</v>
      </c>
      <c r="G109" s="115">
        <v>197.125</v>
      </c>
      <c r="H109" s="116"/>
    </row>
    <row r="110" spans="1:8" s="97" customFormat="1" x14ac:dyDescent="0.25">
      <c r="A110" s="177" t="s">
        <v>98</v>
      </c>
      <c r="B110" s="177"/>
      <c r="C110" s="177"/>
      <c r="D110" s="95" t="s">
        <v>80</v>
      </c>
      <c r="E110" s="107">
        <f>F40</f>
        <v>4.3258832011535704</v>
      </c>
      <c r="F110" s="112">
        <f>E40</f>
        <v>1.2328767123287676</v>
      </c>
      <c r="G110" s="114">
        <f>D40</f>
        <v>73.119280674750058</v>
      </c>
      <c r="H110" s="116"/>
    </row>
    <row r="111" spans="1:8" s="97" customFormat="1" ht="15.75" x14ac:dyDescent="0.25">
      <c r="A111" s="177" t="s">
        <v>97</v>
      </c>
      <c r="B111" s="177"/>
      <c r="C111" s="177"/>
      <c r="D111" s="95" t="s">
        <v>80</v>
      </c>
      <c r="E111" s="107">
        <f>E64</f>
        <v>5</v>
      </c>
      <c r="F111" s="119">
        <f>D64</f>
        <v>1.425</v>
      </c>
      <c r="G111" s="118" t="s">
        <v>4</v>
      </c>
      <c r="H111" s="116"/>
    </row>
    <row r="112" spans="1:8" s="97" customFormat="1" ht="15.75" x14ac:dyDescent="0.25">
      <c r="A112" s="177" t="s">
        <v>92</v>
      </c>
      <c r="B112" s="177"/>
      <c r="C112" s="177"/>
      <c r="D112" s="95" t="s">
        <v>80</v>
      </c>
      <c r="E112" s="107">
        <f>F16</f>
        <v>6.230854915065442</v>
      </c>
      <c r="F112" s="117">
        <f>E16</f>
        <v>1.7757936507936509</v>
      </c>
      <c r="G112" s="118" t="s">
        <v>4</v>
      </c>
      <c r="H112" s="116"/>
    </row>
    <row r="113" spans="1:12" s="97" customFormat="1" x14ac:dyDescent="0.25">
      <c r="A113" s="177" t="s">
        <v>96</v>
      </c>
      <c r="B113" s="177"/>
      <c r="C113" s="177"/>
      <c r="D113" s="95" t="s">
        <v>80</v>
      </c>
      <c r="E113" s="107">
        <f>E88</f>
        <v>7.7321206213783684</v>
      </c>
      <c r="F113" s="119">
        <f>F88</f>
        <v>2.203654377092835</v>
      </c>
      <c r="G113" s="114">
        <f>D88</f>
        <v>53.696617343806729</v>
      </c>
      <c r="H113" s="116"/>
    </row>
    <row r="114" spans="1:12" s="97" customFormat="1" x14ac:dyDescent="0.25">
      <c r="A114" s="109"/>
      <c r="B114" s="109"/>
      <c r="C114" s="109"/>
      <c r="D114" s="110"/>
      <c r="E114"/>
      <c r="F114"/>
      <c r="G114"/>
    </row>
    <row r="117" spans="1:12" x14ac:dyDescent="0.25">
      <c r="A117" s="102" t="s">
        <v>128</v>
      </c>
    </row>
    <row r="118" spans="1:12" s="97" customFormat="1" x14ac:dyDescent="0.25">
      <c r="A118" s="102"/>
    </row>
    <row r="119" spans="1:12" x14ac:dyDescent="0.25">
      <c r="A119" s="99" t="s">
        <v>6</v>
      </c>
    </row>
    <row r="120" spans="1:12" s="97" customFormat="1" x14ac:dyDescent="0.25">
      <c r="A120" s="99" t="s">
        <v>81</v>
      </c>
      <c r="B120" s="130">
        <f>$B$4</f>
        <v>50</v>
      </c>
      <c r="C120" s="131">
        <f>$C$4</f>
        <v>1000</v>
      </c>
      <c r="D120" s="131">
        <f>$D$4</f>
        <v>8</v>
      </c>
      <c r="E120" s="132">
        <f>$E$4</f>
        <v>5000</v>
      </c>
      <c r="F120" s="145">
        <f>$F$4</f>
        <v>130</v>
      </c>
      <c r="G120" s="83">
        <f>$G$4</f>
        <v>14</v>
      </c>
      <c r="H120" s="83">
        <f>$H$4</f>
        <v>140</v>
      </c>
      <c r="I120" s="133">
        <f>$I$4</f>
        <v>7</v>
      </c>
      <c r="J120" s="133">
        <f>$J$4</f>
        <v>60</v>
      </c>
      <c r="K120" s="134">
        <f>$K$4</f>
        <v>0.5</v>
      </c>
      <c r="L120" s="134">
        <f>$L$4</f>
        <v>0.1</v>
      </c>
    </row>
    <row r="121" spans="1:12" s="97" customFormat="1" x14ac:dyDescent="0.25"/>
    <row r="122" spans="1:12" s="97" customFormat="1" x14ac:dyDescent="0.25">
      <c r="G122" s="98" t="s">
        <v>114</v>
      </c>
    </row>
    <row r="123" spans="1:12" x14ac:dyDescent="0.25">
      <c r="A123" s="98" t="s">
        <v>118</v>
      </c>
      <c r="B123" s="98" t="s">
        <v>119</v>
      </c>
      <c r="C123" s="98"/>
      <c r="D123" s="98" t="s">
        <v>105</v>
      </c>
      <c r="E123" s="98" t="s">
        <v>112</v>
      </c>
      <c r="F123" s="98" t="s">
        <v>110</v>
      </c>
      <c r="G123" s="98" t="s">
        <v>115</v>
      </c>
      <c r="H123" s="98"/>
    </row>
    <row r="124" spans="1:12" x14ac:dyDescent="0.25">
      <c r="A124" s="98" t="s">
        <v>117</v>
      </c>
      <c r="B124" s="98" t="s">
        <v>117</v>
      </c>
      <c r="C124" s="98" t="s">
        <v>104</v>
      </c>
      <c r="D124" s="98" t="s">
        <v>106</v>
      </c>
      <c r="E124" s="98" t="s">
        <v>111</v>
      </c>
      <c r="F124" s="98" t="s">
        <v>57</v>
      </c>
      <c r="G124" s="98" t="s">
        <v>116</v>
      </c>
      <c r="H124" s="98"/>
    </row>
    <row r="125" spans="1:12" x14ac:dyDescent="0.25">
      <c r="A125" s="22">
        <f>avgTrSize</f>
        <v>475</v>
      </c>
      <c r="B125" s="105">
        <v>2</v>
      </c>
      <c r="C125" s="123">
        <v>8</v>
      </c>
      <c r="D125" s="105">
        <v>100</v>
      </c>
      <c r="E125" s="125">
        <v>1E-4</v>
      </c>
      <c r="F125">
        <f>CEILING(LOG(E125,0.5),1)</f>
        <v>14</v>
      </c>
      <c r="G125" s="126">
        <v>0.75</v>
      </c>
      <c r="I125" s="97"/>
    </row>
    <row r="127" spans="1:12" s="97" customFormat="1" x14ac:dyDescent="0.25">
      <c r="A127" s="102" t="s">
        <v>127</v>
      </c>
    </row>
    <row r="128" spans="1:12" s="97" customFormat="1" x14ac:dyDescent="0.25">
      <c r="B128" s="98"/>
      <c r="C128" s="98" t="s">
        <v>45</v>
      </c>
      <c r="D128" s="98" t="s">
        <v>39</v>
      </c>
      <c r="E128" s="98" t="s">
        <v>31</v>
      </c>
    </row>
    <row r="129" spans="1:6" s="97" customFormat="1" x14ac:dyDescent="0.25">
      <c r="A129" s="128" t="s">
        <v>7</v>
      </c>
      <c r="B129" s="98" t="s">
        <v>88</v>
      </c>
      <c r="C129" s="98" t="s">
        <v>35</v>
      </c>
      <c r="D129" s="98" t="s">
        <v>8</v>
      </c>
      <c r="E129" s="98" t="s">
        <v>32</v>
      </c>
      <c r="F129" s="98" t="s">
        <v>20</v>
      </c>
    </row>
    <row r="130" spans="1:6" s="97" customFormat="1" x14ac:dyDescent="0.25">
      <c r="A130" s="97">
        <v>0</v>
      </c>
      <c r="B130" s="114">
        <f t="shared" ref="B130:B145" si="19">bandwidth15*syncResourcePercentage15*mbToGB*secondsPerYear*POWER(1+bandwidthGrowth,A130)*recentSyncTime15/365</f>
        <v>1890</v>
      </c>
      <c r="C130" s="91">
        <f xml:space="preserve"> utxoSize</f>
        <v>3</v>
      </c>
      <c r="D130" s="103">
        <f>(B130-C130)/(assumevalidBlockTime/365)</f>
        <v>3279.7857142857147</v>
      </c>
      <c r="E130" s="113">
        <f>(D130*KBperGB/secondsPerYear)*secondsPerBlock/1000</f>
        <v>62.400793650793652</v>
      </c>
      <c r="F130" s="90">
        <f t="shared" ref="F130:F145" si="20">E130*1000*1000/(secondsPerBlock*avgTrSize)</f>
        <v>218.95015316067949</v>
      </c>
    </row>
    <row r="131" spans="1:6" s="97" customFormat="1" x14ac:dyDescent="0.25">
      <c r="A131" s="97">
        <v>1</v>
      </c>
      <c r="B131" s="114">
        <f t="shared" si="19"/>
        <v>2362.5</v>
      </c>
      <c r="C131" s="93">
        <f xml:space="preserve"> C130 + MIN(C130*utxoGrowth, curMaxBlocksize*secondsPerYear/secondsPerBlock/KBperGB)</f>
        <v>4.5</v>
      </c>
      <c r="D131" s="103">
        <f t="shared" ref="D131:D145" si="21">(B131-C131)/(assumevalidBlockTime/365)</f>
        <v>4098.4285714285716</v>
      </c>
      <c r="E131" s="113">
        <f t="shared" ref="E131:E132" si="22">(D131*KBperGB/secondsPerYear)*secondsPerBlock/1000</f>
        <v>77.976190476190482</v>
      </c>
      <c r="F131" s="90">
        <f t="shared" si="20"/>
        <v>273.60066833751051</v>
      </c>
    </row>
    <row r="132" spans="1:6" s="97" customFormat="1" x14ac:dyDescent="0.25">
      <c r="A132" s="97">
        <v>2</v>
      </c>
      <c r="B132" s="114">
        <f t="shared" si="19"/>
        <v>2953.125</v>
      </c>
      <c r="C132" s="93">
        <f t="shared" ref="C132:C145" si="23" xml:space="preserve"> C131 + MIN(C131*utxoGrowth, curMaxBlocksize*secondsPerYear/secondsPerBlock/KBperGB)</f>
        <v>6.75</v>
      </c>
      <c r="D132" s="103">
        <f t="shared" si="21"/>
        <v>5121.0803571428578</v>
      </c>
      <c r="E132" s="113">
        <f t="shared" si="22"/>
        <v>97.433035714285708</v>
      </c>
      <c r="F132" s="90">
        <f t="shared" si="20"/>
        <v>341.87030075187971</v>
      </c>
    </row>
    <row r="133" spans="1:6" s="97" customFormat="1" x14ac:dyDescent="0.25">
      <c r="A133" s="97">
        <v>3</v>
      </c>
      <c r="B133" s="114">
        <f t="shared" si="19"/>
        <v>3691.40625</v>
      </c>
      <c r="C133" s="93">
        <f t="shared" si="23"/>
        <v>10.125</v>
      </c>
      <c r="D133" s="103">
        <f t="shared" si="21"/>
        <v>6398.4174107142862</v>
      </c>
      <c r="E133" s="113">
        <f>(D133*KBperGB/secondsPerYear)*secondsPerBlock/1000</f>
        <v>121.73549107142857</v>
      </c>
      <c r="F133" s="90">
        <f t="shared" si="20"/>
        <v>427.14207393483707</v>
      </c>
    </row>
    <row r="134" spans="1:6" s="97" customFormat="1" x14ac:dyDescent="0.25">
      <c r="A134" s="97">
        <v>4</v>
      </c>
      <c r="B134" s="114">
        <f t="shared" si="19"/>
        <v>4614.2578125</v>
      </c>
      <c r="C134" s="93">
        <f t="shared" si="23"/>
        <v>15.1875</v>
      </c>
      <c r="D134" s="103">
        <f t="shared" si="21"/>
        <v>7993.6222098214294</v>
      </c>
      <c r="E134" s="113">
        <f t="shared" ref="E134:E145" si="24">(D134*KBperGB/secondsPerYear)*secondsPerBlock/1000</f>
        <v>152.08565848214286</v>
      </c>
      <c r="F134" s="90">
        <f t="shared" si="20"/>
        <v>533.63388941102755</v>
      </c>
    </row>
    <row r="135" spans="1:6" s="97" customFormat="1" x14ac:dyDescent="0.25">
      <c r="A135" s="97">
        <v>5</v>
      </c>
      <c r="B135" s="114">
        <f t="shared" si="19"/>
        <v>5767.822265625</v>
      </c>
      <c r="C135" s="93">
        <f t="shared" si="23"/>
        <v>22.78125</v>
      </c>
      <c r="D135" s="103">
        <f t="shared" si="21"/>
        <v>9985.4284319196431</v>
      </c>
      <c r="E135" s="113">
        <f t="shared" si="24"/>
        <v>189.98151506696428</v>
      </c>
      <c r="F135" s="90">
        <f t="shared" si="20"/>
        <v>666.60180725250632</v>
      </c>
    </row>
    <row r="136" spans="1:6" s="97" customFormat="1" x14ac:dyDescent="0.25">
      <c r="A136" s="97">
        <v>6</v>
      </c>
      <c r="B136" s="114">
        <f t="shared" si="19"/>
        <v>7209.77783203125</v>
      </c>
      <c r="C136" s="93">
        <f t="shared" si="23"/>
        <v>34.171875</v>
      </c>
      <c r="D136" s="103">
        <f t="shared" si="21"/>
        <v>12471.886544363841</v>
      </c>
      <c r="E136" s="113">
        <f t="shared" si="24"/>
        <v>237.28855678013394</v>
      </c>
      <c r="F136" s="90">
        <f t="shared" si="20"/>
        <v>832.59142729871564</v>
      </c>
    </row>
    <row r="137" spans="1:6" s="97" customFormat="1" x14ac:dyDescent="0.25">
      <c r="A137" s="97">
        <v>7</v>
      </c>
      <c r="B137" s="114">
        <f t="shared" si="19"/>
        <v>9012.2222900390625</v>
      </c>
      <c r="C137" s="93">
        <f t="shared" si="23"/>
        <v>51.2578125</v>
      </c>
      <c r="D137" s="103">
        <f t="shared" si="21"/>
        <v>15575.009687151229</v>
      </c>
      <c r="E137" s="113">
        <f t="shared" si="24"/>
        <v>296.32819039481029</v>
      </c>
      <c r="F137" s="90">
        <f t="shared" si="20"/>
        <v>1039.7480364730184</v>
      </c>
    </row>
    <row r="138" spans="1:6" s="97" customFormat="1" x14ac:dyDescent="0.25">
      <c r="A138" s="97">
        <v>8</v>
      </c>
      <c r="B138" s="114">
        <f t="shared" si="19"/>
        <v>11265.277862548828</v>
      </c>
      <c r="C138" s="93">
        <f t="shared" si="23"/>
        <v>76.88671875</v>
      </c>
      <c r="D138" s="103">
        <f t="shared" si="21"/>
        <v>19446.489368983679</v>
      </c>
      <c r="E138" s="113">
        <f t="shared" si="24"/>
        <v>369.98647962297719</v>
      </c>
      <c r="F138" s="90">
        <f t="shared" si="20"/>
        <v>1298.1981741157094</v>
      </c>
    </row>
    <row r="139" spans="1:6" s="97" customFormat="1" x14ac:dyDescent="0.25">
      <c r="A139" s="97">
        <v>9</v>
      </c>
      <c r="B139" s="114">
        <f t="shared" si="19"/>
        <v>14081.597328186035</v>
      </c>
      <c r="C139" s="93">
        <f t="shared" si="23"/>
        <v>115.330078125</v>
      </c>
      <c r="D139" s="103">
        <f t="shared" si="21"/>
        <v>24274.702601296562</v>
      </c>
      <c r="E139" s="113">
        <f t="shared" si="24"/>
        <v>461.84746197291787</v>
      </c>
      <c r="F139" s="90">
        <f t="shared" si="20"/>
        <v>1620.517410431291</v>
      </c>
    </row>
    <row r="140" spans="1:6" s="97" customFormat="1" x14ac:dyDescent="0.25">
      <c r="A140" s="97">
        <v>10</v>
      </c>
      <c r="B140" s="114">
        <f t="shared" si="19"/>
        <v>17601.996660232544</v>
      </c>
      <c r="C140" s="93">
        <f t="shared" si="23"/>
        <v>172.9951171875</v>
      </c>
      <c r="D140" s="103">
        <f t="shared" si="21"/>
        <v>30293.26458672115</v>
      </c>
      <c r="E140" s="113">
        <f t="shared" si="24"/>
        <v>576.35587113244208</v>
      </c>
      <c r="F140" s="90">
        <f t="shared" si="20"/>
        <v>2022.3013022190946</v>
      </c>
    </row>
    <row r="141" spans="1:6" s="97" customFormat="1" x14ac:dyDescent="0.25">
      <c r="A141" s="97">
        <v>11</v>
      </c>
      <c r="B141" s="114">
        <f t="shared" si="19"/>
        <v>22002.49582529068</v>
      </c>
      <c r="C141" s="93">
        <f t="shared" si="23"/>
        <v>259.49267578125</v>
      </c>
      <c r="D141" s="103">
        <f t="shared" si="21"/>
        <v>37791.410236052106</v>
      </c>
      <c r="E141" s="113">
        <f t="shared" si="24"/>
        <v>719.01465441499442</v>
      </c>
      <c r="F141" s="90">
        <f t="shared" si="20"/>
        <v>2522.8584365438401</v>
      </c>
    </row>
    <row r="142" spans="1:6" s="97" customFormat="1" x14ac:dyDescent="0.25">
      <c r="A142" s="97">
        <v>12</v>
      </c>
      <c r="B142" s="114">
        <f t="shared" si="19"/>
        <v>27503.11978161335</v>
      </c>
      <c r="C142" s="93">
        <f t="shared" si="23"/>
        <v>364.61267578125</v>
      </c>
      <c r="D142" s="103">
        <f t="shared" si="21"/>
        <v>47169.309969660557</v>
      </c>
      <c r="E142" s="113">
        <f t="shared" si="24"/>
        <v>897.43740429338959</v>
      </c>
      <c r="F142" s="90">
        <f t="shared" si="20"/>
        <v>3148.9031729592621</v>
      </c>
    </row>
    <row r="143" spans="1:6" s="97" customFormat="1" x14ac:dyDescent="0.25">
      <c r="A143" s="97">
        <v>13</v>
      </c>
      <c r="B143" s="114">
        <f t="shared" si="19"/>
        <v>34378.899727016687</v>
      </c>
      <c r="C143" s="93">
        <f t="shared" si="23"/>
        <v>469.73267578125001</v>
      </c>
      <c r="D143" s="103">
        <f t="shared" si="21"/>
        <v>58937.36177952827</v>
      </c>
      <c r="E143" s="113">
        <f t="shared" si="24"/>
        <v>1121.3348892604313</v>
      </c>
      <c r="F143" s="90">
        <f t="shared" si="20"/>
        <v>3934.5083833699346</v>
      </c>
    </row>
    <row r="144" spans="1:6" s="97" customFormat="1" x14ac:dyDescent="0.25">
      <c r="A144" s="97">
        <v>14</v>
      </c>
      <c r="B144" s="114">
        <f t="shared" si="19"/>
        <v>42973.624658770859</v>
      </c>
      <c r="C144" s="93">
        <f t="shared" si="23"/>
        <v>574.85267578125001</v>
      </c>
      <c r="D144" s="103">
        <f t="shared" si="21"/>
        <v>73693.103684720045</v>
      </c>
      <c r="E144" s="113">
        <f t="shared" si="24"/>
        <v>1402.075793088281</v>
      </c>
      <c r="F144" s="90">
        <f t="shared" si="20"/>
        <v>4919.5641862746706</v>
      </c>
    </row>
    <row r="145" spans="1:6" s="97" customFormat="1" x14ac:dyDescent="0.25">
      <c r="A145" s="97">
        <v>15</v>
      </c>
      <c r="B145" s="114">
        <f t="shared" si="19"/>
        <v>53717.030823463567</v>
      </c>
      <c r="C145" s="93">
        <f t="shared" si="23"/>
        <v>679.97267578125002</v>
      </c>
      <c r="D145" s="103">
        <f t="shared" si="21"/>
        <v>92183.458209066885</v>
      </c>
      <c r="E145" s="113">
        <f t="shared" si="24"/>
        <v>1753.87097049214</v>
      </c>
      <c r="F145" s="90">
        <f t="shared" si="20"/>
        <v>6153.9332297969822</v>
      </c>
    </row>
    <row r="146" spans="1:6" s="97" customFormat="1" x14ac:dyDescent="0.25"/>
    <row r="147" spans="1:6" s="97" customFormat="1" x14ac:dyDescent="0.25">
      <c r="A147" s="102" t="s">
        <v>126</v>
      </c>
    </row>
    <row r="148" spans="1:6" s="97" customFormat="1" x14ac:dyDescent="0.25"/>
    <row r="149" spans="1:6" x14ac:dyDescent="0.25">
      <c r="B149" s="98" t="s">
        <v>109</v>
      </c>
    </row>
    <row r="150" spans="1:6" x14ac:dyDescent="0.25">
      <c r="B150" s="98" t="s">
        <v>107</v>
      </c>
      <c r="C150" s="98" t="s">
        <v>102</v>
      </c>
      <c r="D150" s="98" t="s">
        <v>31</v>
      </c>
      <c r="E150" s="98" t="s">
        <v>31</v>
      </c>
    </row>
    <row r="151" spans="1:6" x14ac:dyDescent="0.25">
      <c r="A151" s="121" t="s">
        <v>7</v>
      </c>
      <c r="B151" s="98" t="s">
        <v>108</v>
      </c>
      <c r="C151" s="98" t="s">
        <v>103</v>
      </c>
      <c r="D151" s="98" t="s">
        <v>32</v>
      </c>
      <c r="E151" s="98" t="s">
        <v>101</v>
      </c>
    </row>
    <row r="152" spans="1:6" x14ac:dyDescent="0.25">
      <c r="A152" s="97">
        <v>0</v>
      </c>
      <c r="B152">
        <f t="shared" ref="B152:B167" si="25">FLOOR(LOG((memory15*1000*1000*1000)*POWER(1+memoryGrowth,A152)*ongoingResourcePercentage15, 2),1)</f>
        <v>29</v>
      </c>
      <c r="C152" s="124">
        <f t="shared" ref="C152:C167" si="26">$B$125*32*(LOG((endGameUsers*1000*1000*1000)*utxosPerUserEndGame, 2)-B152)</f>
        <v>674.63737880070312</v>
      </c>
      <c r="D152" s="113">
        <f t="shared" ref="D152:D167" si="27">(bandwidth15*ongoingResourcePercentage15*POWER(1+bandwidthGrowth,A152)*mbToGB*1000)*secondsPerBlock/2</f>
        <v>187.5</v>
      </c>
      <c r="E152" s="100">
        <f>D152*1000*1000/secondsPerBlock/(2*(endGameTransactionSize+C152))</f>
        <v>135.91242150024675</v>
      </c>
    </row>
    <row r="153" spans="1:6" x14ac:dyDescent="0.25">
      <c r="A153" s="97">
        <v>1</v>
      </c>
      <c r="B153" s="97">
        <f t="shared" si="25"/>
        <v>29</v>
      </c>
      <c r="C153" s="124">
        <f t="shared" si="26"/>
        <v>674.63737880070312</v>
      </c>
      <c r="D153" s="113">
        <f t="shared" si="27"/>
        <v>234.375</v>
      </c>
      <c r="E153" s="100">
        <f t="shared" ref="E153:E167" si="28">D153*1000*1000/secondsPerBlock/(2*(endGameTransactionSize+C153))</f>
        <v>169.89052687530844</v>
      </c>
    </row>
    <row r="154" spans="1:6" x14ac:dyDescent="0.25">
      <c r="A154" s="97">
        <v>2</v>
      </c>
      <c r="B154" s="97">
        <f t="shared" si="25"/>
        <v>29</v>
      </c>
      <c r="C154" s="124">
        <f t="shared" si="26"/>
        <v>674.63737880070312</v>
      </c>
      <c r="D154" s="113">
        <f t="shared" si="27"/>
        <v>292.96875</v>
      </c>
      <c r="E154" s="100">
        <f t="shared" si="28"/>
        <v>212.36315859413554</v>
      </c>
    </row>
    <row r="155" spans="1:6" x14ac:dyDescent="0.25">
      <c r="A155" s="97">
        <v>3</v>
      </c>
      <c r="B155" s="97">
        <f t="shared" si="25"/>
        <v>30</v>
      </c>
      <c r="C155" s="124">
        <f t="shared" si="26"/>
        <v>610.63737880070312</v>
      </c>
      <c r="D155" s="113">
        <f t="shared" si="27"/>
        <v>366.2109375</v>
      </c>
      <c r="E155" s="100">
        <f t="shared" si="28"/>
        <v>281.10286842474585</v>
      </c>
    </row>
    <row r="156" spans="1:6" x14ac:dyDescent="0.25">
      <c r="A156" s="97">
        <v>4</v>
      </c>
      <c r="B156" s="97">
        <f t="shared" si="25"/>
        <v>30</v>
      </c>
      <c r="C156" s="124">
        <f t="shared" si="26"/>
        <v>610.63737880070312</v>
      </c>
      <c r="D156" s="113">
        <f t="shared" si="27"/>
        <v>457.763671875</v>
      </c>
      <c r="E156" s="100">
        <f t="shared" si="28"/>
        <v>351.3785855309323</v>
      </c>
    </row>
    <row r="157" spans="1:6" x14ac:dyDescent="0.25">
      <c r="A157" s="97">
        <v>5</v>
      </c>
      <c r="B157" s="97">
        <f t="shared" si="25"/>
        <v>30</v>
      </c>
      <c r="C157" s="124">
        <f t="shared" si="26"/>
        <v>610.63737880070312</v>
      </c>
      <c r="D157" s="113">
        <f t="shared" si="27"/>
        <v>572.20458984375</v>
      </c>
      <c r="E157" s="100">
        <f t="shared" si="28"/>
        <v>439.22323191366536</v>
      </c>
    </row>
    <row r="158" spans="1:6" x14ac:dyDescent="0.25">
      <c r="A158" s="97">
        <v>6</v>
      </c>
      <c r="B158" s="97">
        <f t="shared" si="25"/>
        <v>30</v>
      </c>
      <c r="C158" s="124">
        <f t="shared" si="26"/>
        <v>610.63737880070312</v>
      </c>
      <c r="D158" s="113">
        <f t="shared" si="27"/>
        <v>715.2557373046875</v>
      </c>
      <c r="E158" s="100">
        <f t="shared" si="28"/>
        <v>549.02903989208176</v>
      </c>
    </row>
    <row r="159" spans="1:6" x14ac:dyDescent="0.25">
      <c r="A159" s="97">
        <v>7</v>
      </c>
      <c r="B159" s="97">
        <f t="shared" si="25"/>
        <v>30</v>
      </c>
      <c r="C159" s="124">
        <f t="shared" si="26"/>
        <v>610.63737880070312</v>
      </c>
      <c r="D159" s="113">
        <f t="shared" si="27"/>
        <v>894.06967163085937</v>
      </c>
      <c r="E159" s="100">
        <f t="shared" si="28"/>
        <v>686.28629986510214</v>
      </c>
    </row>
    <row r="160" spans="1:6" x14ac:dyDescent="0.25">
      <c r="A160" s="97">
        <v>8</v>
      </c>
      <c r="B160" s="97">
        <f t="shared" si="25"/>
        <v>31</v>
      </c>
      <c r="C160" s="124">
        <f t="shared" si="26"/>
        <v>546.63737880070312</v>
      </c>
      <c r="D160" s="113">
        <f t="shared" si="27"/>
        <v>1117.5870895385742</v>
      </c>
      <c r="E160" s="100">
        <f t="shared" si="28"/>
        <v>911.59798372760713</v>
      </c>
    </row>
    <row r="161" spans="1:5" x14ac:dyDescent="0.25">
      <c r="A161" s="97">
        <v>9</v>
      </c>
      <c r="B161" s="97">
        <f t="shared" si="25"/>
        <v>31</v>
      </c>
      <c r="C161" s="124">
        <f t="shared" si="26"/>
        <v>546.63737880070312</v>
      </c>
      <c r="D161" s="113">
        <f t="shared" si="27"/>
        <v>1396.9838619232178</v>
      </c>
      <c r="E161" s="100">
        <f t="shared" si="28"/>
        <v>1139.4974796595088</v>
      </c>
    </row>
    <row r="162" spans="1:5" x14ac:dyDescent="0.25">
      <c r="A162" s="97">
        <v>10</v>
      </c>
      <c r="B162" s="97">
        <f t="shared" si="25"/>
        <v>31</v>
      </c>
      <c r="C162" s="124">
        <f t="shared" si="26"/>
        <v>546.63737880070312</v>
      </c>
      <c r="D162" s="113">
        <f t="shared" si="27"/>
        <v>1746.2298274040222</v>
      </c>
      <c r="E162" s="100">
        <f t="shared" si="28"/>
        <v>1424.371849574386</v>
      </c>
    </row>
    <row r="163" spans="1:5" x14ac:dyDescent="0.25">
      <c r="A163" s="97">
        <v>11</v>
      </c>
      <c r="B163" s="97">
        <f t="shared" si="25"/>
        <v>31</v>
      </c>
      <c r="C163" s="124">
        <f t="shared" si="26"/>
        <v>546.63737880070312</v>
      </c>
      <c r="D163" s="113">
        <f t="shared" si="27"/>
        <v>2182.7872842550278</v>
      </c>
      <c r="E163" s="100">
        <f t="shared" si="28"/>
        <v>1780.4648119679825</v>
      </c>
    </row>
    <row r="164" spans="1:5" x14ac:dyDescent="0.25">
      <c r="A164" s="97">
        <v>12</v>
      </c>
      <c r="B164" s="97">
        <f t="shared" si="25"/>
        <v>31</v>
      </c>
      <c r="C164" s="124">
        <f t="shared" si="26"/>
        <v>546.63737880070312</v>
      </c>
      <c r="D164" s="113">
        <f t="shared" si="27"/>
        <v>2728.4841053187847</v>
      </c>
      <c r="E164" s="100">
        <f t="shared" si="28"/>
        <v>2225.5810149599783</v>
      </c>
    </row>
    <row r="165" spans="1:5" x14ac:dyDescent="0.25">
      <c r="A165" s="97">
        <v>13</v>
      </c>
      <c r="B165" s="97">
        <f t="shared" si="25"/>
        <v>32</v>
      </c>
      <c r="C165" s="124">
        <f t="shared" si="26"/>
        <v>482.63737880070312</v>
      </c>
      <c r="D165" s="113">
        <f t="shared" si="27"/>
        <v>3410.6051316484809</v>
      </c>
      <c r="E165" s="100">
        <f t="shared" si="28"/>
        <v>2967.8989207791706</v>
      </c>
    </row>
    <row r="166" spans="1:5" x14ac:dyDescent="0.25">
      <c r="A166" s="97">
        <v>14</v>
      </c>
      <c r="B166" s="97">
        <f t="shared" si="25"/>
        <v>32</v>
      </c>
      <c r="C166" s="124">
        <f t="shared" si="26"/>
        <v>482.63737880070312</v>
      </c>
      <c r="D166" s="113">
        <f t="shared" si="27"/>
        <v>4263.2564145606011</v>
      </c>
      <c r="E166" s="100">
        <f t="shared" si="28"/>
        <v>3709.8736509739633</v>
      </c>
    </row>
    <row r="167" spans="1:5" x14ac:dyDescent="0.25">
      <c r="A167" s="97">
        <v>15</v>
      </c>
      <c r="B167" s="97">
        <f t="shared" si="25"/>
        <v>32</v>
      </c>
      <c r="C167" s="124">
        <f t="shared" si="26"/>
        <v>482.63737880070312</v>
      </c>
      <c r="D167" s="113">
        <f t="shared" si="27"/>
        <v>5329.0705182007514</v>
      </c>
      <c r="E167" s="100">
        <f t="shared" si="28"/>
        <v>4637.342063717454</v>
      </c>
    </row>
    <row r="169" spans="1:5" x14ac:dyDescent="0.25">
      <c r="A169" s="102" t="s">
        <v>113</v>
      </c>
    </row>
    <row r="171" spans="1:5" x14ac:dyDescent="0.25">
      <c r="A171" s="97"/>
      <c r="B171" s="98" t="s">
        <v>109</v>
      </c>
      <c r="C171" s="97"/>
      <c r="D171" s="97"/>
      <c r="E171" s="97"/>
    </row>
    <row r="172" spans="1:5" x14ac:dyDescent="0.25">
      <c r="A172" s="97"/>
      <c r="B172" s="98" t="s">
        <v>107</v>
      </c>
      <c r="C172" s="98" t="s">
        <v>102</v>
      </c>
      <c r="D172" s="98" t="s">
        <v>31</v>
      </c>
      <c r="E172" s="98" t="s">
        <v>31</v>
      </c>
    </row>
    <row r="173" spans="1:5" x14ac:dyDescent="0.25">
      <c r="A173" s="122" t="s">
        <v>7</v>
      </c>
      <c r="B173" s="98" t="s">
        <v>108</v>
      </c>
      <c r="C173" s="98" t="s">
        <v>103</v>
      </c>
      <c r="D173" s="98" t="s">
        <v>32</v>
      </c>
      <c r="E173" s="98" t="s">
        <v>101</v>
      </c>
    </row>
    <row r="174" spans="1:5" x14ac:dyDescent="0.25">
      <c r="A174" s="97">
        <v>0</v>
      </c>
      <c r="B174" s="97">
        <f t="shared" ref="B174:B189" si="29">FLOOR(LOG((memory15*1000*1000*1000)*POWER(1+memoryGrowth,A174)*ongoingResourcePercentage15, 2),1)</f>
        <v>29</v>
      </c>
      <c r="C174" s="124">
        <f t="shared" ref="C174:C189" si="30">$B$125*32*(LOG((endGameUsers*1000*1000*1000)*utxosPerUserEndGame, 2)-B174)</f>
        <v>674.63737880070312</v>
      </c>
      <c r="D174" s="113">
        <f t="shared" ref="D174:D189" si="31">(bandwidth15*endGameEmergencyUsage*POWER(1+bandwidthGrowth,A174)*mbToGB*1000)*secondsPerBlock/2</f>
        <v>1406.25</v>
      </c>
      <c r="E174" s="100">
        <f t="shared" ref="E174:E189" si="32">D174*1000*1000/secondsPerBlock/(2*(endGameTransactionSize+C174))</f>
        <v>1019.3431612518506</v>
      </c>
    </row>
    <row r="175" spans="1:5" x14ac:dyDescent="0.25">
      <c r="A175" s="97">
        <v>1</v>
      </c>
      <c r="B175" s="97">
        <f t="shared" si="29"/>
        <v>29</v>
      </c>
      <c r="C175" s="124">
        <f t="shared" si="30"/>
        <v>674.63737880070312</v>
      </c>
      <c r="D175" s="113">
        <f t="shared" si="31"/>
        <v>1757.8125</v>
      </c>
      <c r="E175" s="100">
        <f t="shared" si="32"/>
        <v>1274.1789515648134</v>
      </c>
    </row>
    <row r="176" spans="1:5" x14ac:dyDescent="0.25">
      <c r="A176" s="97">
        <v>2</v>
      </c>
      <c r="B176" s="97">
        <f t="shared" si="29"/>
        <v>29</v>
      </c>
      <c r="C176" s="124">
        <f t="shared" si="30"/>
        <v>674.63737880070312</v>
      </c>
      <c r="D176" s="113">
        <f t="shared" si="31"/>
        <v>2197.265625</v>
      </c>
      <c r="E176" s="100">
        <f t="shared" si="32"/>
        <v>1592.7236894560167</v>
      </c>
    </row>
    <row r="177" spans="1:9" x14ac:dyDescent="0.25">
      <c r="A177" s="97">
        <v>3</v>
      </c>
      <c r="B177" s="97">
        <f t="shared" si="29"/>
        <v>30</v>
      </c>
      <c r="C177" s="124">
        <f t="shared" si="30"/>
        <v>610.63737880070312</v>
      </c>
      <c r="D177" s="113">
        <f t="shared" si="31"/>
        <v>2746.58203125</v>
      </c>
      <c r="E177" s="100">
        <f t="shared" si="32"/>
        <v>2108.2715131855939</v>
      </c>
    </row>
    <row r="178" spans="1:9" x14ac:dyDescent="0.25">
      <c r="A178" s="97">
        <v>4</v>
      </c>
      <c r="B178" s="97">
        <f t="shared" si="29"/>
        <v>30</v>
      </c>
      <c r="C178" s="124">
        <f t="shared" si="30"/>
        <v>610.63737880070312</v>
      </c>
      <c r="D178" s="113">
        <f t="shared" si="31"/>
        <v>3433.2275390625</v>
      </c>
      <c r="E178" s="100">
        <f t="shared" si="32"/>
        <v>2635.3393914819922</v>
      </c>
    </row>
    <row r="179" spans="1:9" x14ac:dyDescent="0.25">
      <c r="A179" s="97">
        <v>5</v>
      </c>
      <c r="B179" s="97">
        <f t="shared" si="29"/>
        <v>30</v>
      </c>
      <c r="C179" s="124">
        <f t="shared" si="30"/>
        <v>610.63737880070312</v>
      </c>
      <c r="D179" s="113">
        <f t="shared" si="31"/>
        <v>4291.534423828125</v>
      </c>
      <c r="E179" s="100">
        <f t="shared" si="32"/>
        <v>3294.1742393524901</v>
      </c>
    </row>
    <row r="180" spans="1:9" x14ac:dyDescent="0.25">
      <c r="A180" s="97">
        <v>6</v>
      </c>
      <c r="B180" s="97">
        <f t="shared" si="29"/>
        <v>30</v>
      </c>
      <c r="C180" s="124">
        <f t="shared" si="30"/>
        <v>610.63737880070312</v>
      </c>
      <c r="D180" s="113">
        <f t="shared" si="31"/>
        <v>5364.4180297851562</v>
      </c>
      <c r="E180" s="100">
        <f t="shared" si="32"/>
        <v>4117.7177991906128</v>
      </c>
    </row>
    <row r="181" spans="1:9" x14ac:dyDescent="0.25">
      <c r="A181" s="97">
        <v>7</v>
      </c>
      <c r="B181" s="97">
        <f t="shared" si="29"/>
        <v>30</v>
      </c>
      <c r="C181" s="124">
        <f t="shared" si="30"/>
        <v>610.63737880070312</v>
      </c>
      <c r="D181" s="113">
        <f t="shared" si="31"/>
        <v>6705.5225372314453</v>
      </c>
      <c r="E181" s="100">
        <f t="shared" si="32"/>
        <v>5147.1472489882663</v>
      </c>
    </row>
    <row r="182" spans="1:9" x14ac:dyDescent="0.25">
      <c r="A182" s="97">
        <v>8</v>
      </c>
      <c r="B182" s="97">
        <f t="shared" si="29"/>
        <v>31</v>
      </c>
      <c r="C182" s="124">
        <f t="shared" si="30"/>
        <v>546.63737880070312</v>
      </c>
      <c r="D182" s="113">
        <f t="shared" si="31"/>
        <v>8381.9031715393066</v>
      </c>
      <c r="E182" s="100">
        <f t="shared" si="32"/>
        <v>6836.984877957053</v>
      </c>
      <c r="I182" t="s">
        <v>175</v>
      </c>
    </row>
    <row r="183" spans="1:9" x14ac:dyDescent="0.25">
      <c r="A183" s="97">
        <v>9</v>
      </c>
      <c r="B183" s="97">
        <f t="shared" si="29"/>
        <v>31</v>
      </c>
      <c r="C183" s="124">
        <f t="shared" si="30"/>
        <v>546.63737880070312</v>
      </c>
      <c r="D183" s="113">
        <f t="shared" si="31"/>
        <v>10477.378964424133</v>
      </c>
      <c r="E183" s="100">
        <f t="shared" si="32"/>
        <v>8546.2310974463162</v>
      </c>
    </row>
    <row r="184" spans="1:9" x14ac:dyDescent="0.25">
      <c r="A184" s="97">
        <v>10</v>
      </c>
      <c r="B184" s="97">
        <f t="shared" si="29"/>
        <v>31</v>
      </c>
      <c r="C184" s="124">
        <f t="shared" si="30"/>
        <v>546.63737880070312</v>
      </c>
      <c r="D184" s="113">
        <f t="shared" si="31"/>
        <v>13096.723705530167</v>
      </c>
      <c r="E184" s="100">
        <f t="shared" si="32"/>
        <v>10682.788871807896</v>
      </c>
    </row>
    <row r="185" spans="1:9" x14ac:dyDescent="0.25">
      <c r="A185" s="97">
        <v>11</v>
      </c>
      <c r="B185" s="97">
        <f t="shared" si="29"/>
        <v>31</v>
      </c>
      <c r="C185" s="124">
        <f t="shared" si="30"/>
        <v>546.63737880070312</v>
      </c>
      <c r="D185" s="113">
        <f t="shared" si="31"/>
        <v>16370.904631912708</v>
      </c>
      <c r="E185" s="100">
        <f t="shared" si="32"/>
        <v>13353.48608975987</v>
      </c>
    </row>
    <row r="186" spans="1:9" x14ac:dyDescent="0.25">
      <c r="A186" s="97">
        <v>12</v>
      </c>
      <c r="B186" s="97">
        <f t="shared" si="29"/>
        <v>31</v>
      </c>
      <c r="C186" s="124">
        <f t="shared" si="30"/>
        <v>546.63737880070312</v>
      </c>
      <c r="D186" s="113">
        <f t="shared" si="31"/>
        <v>20463.630789890885</v>
      </c>
      <c r="E186" s="100">
        <f t="shared" si="32"/>
        <v>16691.857612199838</v>
      </c>
    </row>
    <row r="187" spans="1:9" x14ac:dyDescent="0.25">
      <c r="A187" s="97">
        <v>13</v>
      </c>
      <c r="B187" s="97">
        <f t="shared" si="29"/>
        <v>32</v>
      </c>
      <c r="C187" s="124">
        <f t="shared" si="30"/>
        <v>482.63737880070312</v>
      </c>
      <c r="D187" s="113">
        <f t="shared" si="31"/>
        <v>25579.538487363607</v>
      </c>
      <c r="E187" s="100">
        <f t="shared" si="32"/>
        <v>22259.241905843781</v>
      </c>
    </row>
    <row r="188" spans="1:9" x14ac:dyDescent="0.25">
      <c r="A188" s="97">
        <v>14</v>
      </c>
      <c r="B188" s="97">
        <f t="shared" si="29"/>
        <v>32</v>
      </c>
      <c r="C188" s="124">
        <f t="shared" si="30"/>
        <v>482.63737880070312</v>
      </c>
      <c r="D188" s="113">
        <f t="shared" si="31"/>
        <v>31974.423109204508</v>
      </c>
      <c r="E188" s="100">
        <f t="shared" si="32"/>
        <v>27824.052382304726</v>
      </c>
    </row>
    <row r="189" spans="1:9" x14ac:dyDescent="0.25">
      <c r="A189" s="97">
        <v>15</v>
      </c>
      <c r="B189" s="97">
        <f t="shared" si="29"/>
        <v>32</v>
      </c>
      <c r="C189" s="124">
        <f t="shared" si="30"/>
        <v>482.63737880070312</v>
      </c>
      <c r="D189" s="113">
        <f t="shared" si="31"/>
        <v>39968.028886505635</v>
      </c>
      <c r="E189" s="100">
        <f t="shared" si="32"/>
        <v>34780.065477880904</v>
      </c>
    </row>
    <row r="190" spans="1:9" s="97" customFormat="1" x14ac:dyDescent="0.25">
      <c r="C190" s="124"/>
      <c r="D190" s="113"/>
      <c r="E190" s="100"/>
    </row>
    <row r="191" spans="1:9" s="97" customFormat="1" x14ac:dyDescent="0.25">
      <c r="A191" s="11" t="s">
        <v>171</v>
      </c>
      <c r="B191" s="39"/>
      <c r="C191" s="7"/>
      <c r="D191" s="93"/>
      <c r="E191" s="39"/>
    </row>
    <row r="192" spans="1:9" s="97" customFormat="1" x14ac:dyDescent="0.25">
      <c r="A192" s="11"/>
      <c r="G192" s="106" t="s">
        <v>76</v>
      </c>
      <c r="H192" s="106" t="s">
        <v>75</v>
      </c>
    </row>
    <row r="193" spans="1:12" s="97" customFormat="1" x14ac:dyDescent="0.25">
      <c r="A193" s="99" t="s">
        <v>133</v>
      </c>
      <c r="C193" s="106" t="s">
        <v>2</v>
      </c>
      <c r="D193" s="106" t="s">
        <v>3</v>
      </c>
      <c r="F193" s="106" t="s">
        <v>143</v>
      </c>
      <c r="G193" s="106" t="s">
        <v>57</v>
      </c>
      <c r="H193" s="106" t="s">
        <v>57</v>
      </c>
    </row>
    <row r="194" spans="1:12" s="97" customFormat="1" x14ac:dyDescent="0.25">
      <c r="A194" s="136" t="str">
        <f>$A$3</f>
        <v>1st %ile</v>
      </c>
      <c r="B194" s="130">
        <f>$B$3</f>
        <v>1000</v>
      </c>
      <c r="C194" s="131">
        <f>$C$3</f>
        <v>10000</v>
      </c>
      <c r="D194" s="131">
        <f>$D$3</f>
        <v>20</v>
      </c>
      <c r="E194" s="132">
        <f>$E$3</f>
        <v>50000</v>
      </c>
      <c r="F194" s="145">
        <f>$F$3</f>
        <v>90</v>
      </c>
      <c r="G194" s="83">
        <f>$G$3</f>
        <v>14</v>
      </c>
      <c r="H194" s="83">
        <f>$H$3</f>
        <v>140</v>
      </c>
      <c r="I194" s="133">
        <f>$I$3</f>
        <v>7</v>
      </c>
      <c r="J194" s="133">
        <f>$J$3</f>
        <v>60</v>
      </c>
      <c r="K194" s="134">
        <f>$K$3</f>
        <v>0.75</v>
      </c>
      <c r="L194" s="134">
        <f>$L$3</f>
        <v>0.1</v>
      </c>
    </row>
    <row r="195" spans="1:12" s="97" customFormat="1" x14ac:dyDescent="0.25">
      <c r="A195" s="99" t="s">
        <v>81</v>
      </c>
      <c r="B195" s="130">
        <f>$B$4</f>
        <v>50</v>
      </c>
      <c r="C195" s="131">
        <f>$C$4</f>
        <v>1000</v>
      </c>
      <c r="D195" s="131">
        <f>$D$4</f>
        <v>8</v>
      </c>
      <c r="E195" s="132">
        <f>$E$4</f>
        <v>5000</v>
      </c>
      <c r="F195" s="145">
        <f>$F$4</f>
        <v>130</v>
      </c>
      <c r="G195" s="83">
        <f>$G$4</f>
        <v>14</v>
      </c>
      <c r="H195" s="83">
        <f>$H$4</f>
        <v>140</v>
      </c>
      <c r="I195" s="133">
        <f>$I$4</f>
        <v>7</v>
      </c>
      <c r="J195" s="133">
        <f>$J$4</f>
        <v>60</v>
      </c>
      <c r="K195" s="134">
        <f>$K$4</f>
        <v>0.5</v>
      </c>
      <c r="L195" s="134">
        <f>$L$4</f>
        <v>0.1</v>
      </c>
    </row>
    <row r="196" spans="1:12" s="97" customFormat="1" x14ac:dyDescent="0.25">
      <c r="A196" s="136" t="str">
        <f>$A$5</f>
        <v>90th %ile</v>
      </c>
      <c r="B196" s="130">
        <f>$B$5</f>
        <v>1</v>
      </c>
      <c r="C196" s="131">
        <f>$C$5</f>
        <v>128</v>
      </c>
      <c r="D196" s="131">
        <f>$D$5</f>
        <v>2</v>
      </c>
      <c r="E196" s="132">
        <f>$E$5</f>
        <v>200</v>
      </c>
      <c r="F196" s="145">
        <f>$F$5</f>
        <v>250</v>
      </c>
      <c r="G196" s="83">
        <f>$G$5</f>
        <v>14</v>
      </c>
      <c r="H196" s="83">
        <f>$H$5</f>
        <v>0</v>
      </c>
      <c r="I196" s="133">
        <f>$I$5</f>
        <v>7</v>
      </c>
      <c r="J196" s="133">
        <f>$J$5</f>
        <v>60</v>
      </c>
      <c r="K196" s="134">
        <f>$K$5</f>
        <v>0.75</v>
      </c>
      <c r="L196" s="134">
        <f>$L$5</f>
        <v>0.1</v>
      </c>
    </row>
    <row r="197" spans="1:12" s="97" customFormat="1" x14ac:dyDescent="0.25">
      <c r="B197" s="39"/>
      <c r="C197" s="7"/>
      <c r="D197" s="93"/>
      <c r="E197" s="39"/>
    </row>
    <row r="198" spans="1:12" s="97" customFormat="1" x14ac:dyDescent="0.25">
      <c r="A198"/>
      <c r="B198"/>
      <c r="D198" s="173" t="s">
        <v>138</v>
      </c>
      <c r="G198" s="173" t="s">
        <v>136</v>
      </c>
      <c r="H198" s="173" t="s">
        <v>183</v>
      </c>
      <c r="I198"/>
      <c r="J198"/>
      <c r="K198"/>
    </row>
    <row r="199" spans="1:12" s="97" customFormat="1" x14ac:dyDescent="0.25">
      <c r="B199"/>
      <c r="C199" s="173" t="s">
        <v>142</v>
      </c>
      <c r="D199" s="173" t="s">
        <v>140</v>
      </c>
      <c r="E199" s="173" t="s">
        <v>186</v>
      </c>
      <c r="F199" s="173" t="s">
        <v>136</v>
      </c>
      <c r="G199" s="173" t="s">
        <v>176</v>
      </c>
      <c r="H199" s="173" t="s">
        <v>184</v>
      </c>
      <c r="I199" s="173" t="s">
        <v>165</v>
      </c>
      <c r="J199" s="173" t="s">
        <v>173</v>
      </c>
      <c r="K199"/>
    </row>
    <row r="200" spans="1:12" s="97" customFormat="1" x14ac:dyDescent="0.25">
      <c r="B200"/>
      <c r="C200" s="173" t="s">
        <v>46</v>
      </c>
      <c r="D200" s="173" t="s">
        <v>141</v>
      </c>
      <c r="E200" s="173" t="s">
        <v>57</v>
      </c>
      <c r="F200" s="173" t="s">
        <v>139</v>
      </c>
      <c r="G200" s="173" t="s">
        <v>1</v>
      </c>
      <c r="H200" s="173" t="s">
        <v>185</v>
      </c>
      <c r="I200" s="137" t="s">
        <v>166</v>
      </c>
      <c r="J200" s="173" t="s">
        <v>104</v>
      </c>
      <c r="K200"/>
    </row>
    <row r="201" spans="1:12" s="97" customFormat="1" x14ac:dyDescent="0.25">
      <c r="B201"/>
      <c r="C201" s="139">
        <v>0.25</v>
      </c>
      <c r="D201" s="142">
        <v>1E-3</v>
      </c>
      <c r="E201" s="179">
        <f>(1-sybilPercentb)*(privateConnections10thc+publicConnections10thc)</f>
        <v>77</v>
      </c>
      <c r="F201" s="180">
        <f>LOG(futureUsers*1000*1000*1000)/LOG(E201/2)</f>
        <v>6.2461906515098251</v>
      </c>
      <c r="G201" s="140">
        <f>B195</f>
        <v>50</v>
      </c>
      <c r="H201" s="105">
        <v>0.5</v>
      </c>
      <c r="I201" s="104">
        <v>0.5</v>
      </c>
      <c r="J201" s="193">
        <v>8</v>
      </c>
      <c r="K201"/>
    </row>
    <row r="202" spans="1:12" s="97" customFormat="1" x14ac:dyDescent="0.25">
      <c r="C202" s="7"/>
      <c r="D202" s="93"/>
      <c r="E202" s="39"/>
    </row>
    <row r="203" spans="1:12" s="97" customFormat="1" x14ac:dyDescent="0.25">
      <c r="B203" s="137" t="s">
        <v>155</v>
      </c>
      <c r="D203" s="173" t="s">
        <v>144</v>
      </c>
      <c r="E203" s="173" t="s">
        <v>144</v>
      </c>
      <c r="H203" s="93"/>
      <c r="I203" s="39"/>
      <c r="J203" s="106" t="s">
        <v>156</v>
      </c>
    </row>
    <row r="204" spans="1:12" s="97" customFormat="1" x14ac:dyDescent="0.25">
      <c r="B204" s="173" t="s">
        <v>156</v>
      </c>
      <c r="C204" s="137" t="s">
        <v>145</v>
      </c>
      <c r="D204" s="173" t="s">
        <v>32</v>
      </c>
      <c r="E204" s="173" t="s">
        <v>32</v>
      </c>
      <c r="F204" s="173" t="s">
        <v>144</v>
      </c>
      <c r="G204" s="173" t="s">
        <v>30</v>
      </c>
      <c r="H204" s="137" t="s">
        <v>145</v>
      </c>
      <c r="I204" s="137" t="s">
        <v>145</v>
      </c>
      <c r="J204" s="106" t="s">
        <v>182</v>
      </c>
    </row>
    <row r="205" spans="1:12" s="97" customFormat="1" x14ac:dyDescent="0.25">
      <c r="A205" s="172" t="s">
        <v>7</v>
      </c>
      <c r="B205" s="173" t="s">
        <v>157</v>
      </c>
      <c r="C205" s="173" t="s">
        <v>148</v>
      </c>
      <c r="D205" s="173" t="s">
        <v>177</v>
      </c>
      <c r="E205" s="173" t="s">
        <v>178</v>
      </c>
      <c r="F205" s="173" t="s">
        <v>32</v>
      </c>
      <c r="G205" s="173" t="s">
        <v>68</v>
      </c>
      <c r="H205" s="173" t="s">
        <v>147</v>
      </c>
      <c r="I205" s="173" t="s">
        <v>146</v>
      </c>
      <c r="J205" s="195" t="s">
        <v>181</v>
      </c>
    </row>
    <row r="206" spans="1:12" s="97" customFormat="1" x14ac:dyDescent="0.25">
      <c r="A206" s="97">
        <v>0</v>
      </c>
      <c r="B206" s="143">
        <f>secondsPerBlock*maximumMinerAdvantage2/targetMinerPercentHashpower2</f>
        <v>2.4</v>
      </c>
      <c r="C206" s="187">
        <f>(((avgHops20-1)*minLastMileLatency) + ((avgHops20-1)*proximityFavoringFactor2*(Latency1stP2-minLastMileLatency)+(Latency10thP2-minLastMileLatency))*(1-(1-POWER(1+latencyGrowth,A206))))/1000</f>
        <v>0.39042500920426587</v>
      </c>
      <c r="D206" s="9">
        <f>(B206 - C206)*(Bandwidth10thP2*ongoingResourcePercent10thP2*POWER(1+bandwidthGrowth,A206)*mbToGB*KBperGB)/(compactBlockCompactedness+missingTransactionRate)</f>
        <v>66104.440486701787</v>
      </c>
      <c r="E206" s="9">
        <f>(B206 - C206)*avgTrSize*(Throughput10thP2*ongoingResourcePercent10thP2*POWER(1+cpuGrowth,A206))/missingTransactionRate/1000</f>
        <v>47727.406031398685</v>
      </c>
      <c r="F206" s="9">
        <f>MIN(D206,E206)</f>
        <v>47727.406031398685</v>
      </c>
      <c r="G206" s="6">
        <f>F206*1000/secondsPerBlock/avgTrSize</f>
        <v>167.46458256631118</v>
      </c>
      <c r="H206" s="146">
        <f>F206*(missingTransactionRate+compactBlockCompactedness)/(Bandwidth10thP2*ongoingResourcePercent10thP2*POWER(1+bandwidthGrowth,A206)*mbToGB*KBperGB)</f>
        <v>1.4509131433545199</v>
      </c>
      <c r="I206" s="147">
        <f>(F206*missingTransactionRate*1000/avgTrSize)/(Throughput10thP2*ongoingResourcePercent10thP2*POWER(1+cpuGrowth,A206))</f>
        <v>2.0095749907957341</v>
      </c>
      <c r="J206" s="196">
        <f>MAX(H206,I206)+C206</f>
        <v>2.4</v>
      </c>
    </row>
    <row r="207" spans="1:12" s="97" customFormat="1" x14ac:dyDescent="0.25">
      <c r="A207" s="97">
        <v>1</v>
      </c>
      <c r="B207" s="143">
        <f>secondsPerBlock*maximumMinerAdvantage2/targetMinerPercentHashpower2</f>
        <v>2.4</v>
      </c>
      <c r="C207" s="187">
        <f>(((avgHops20-1)*minLastMileLatency) + ((avgHops20-1)*proximityFavoringFactor2*(Latency1stP2-minLastMileLatency)+(Latency10thP2-minLastMileLatency))*(1-(1-POWER(1+latencyGrowth,A207))))/1000</f>
        <v>0.38107304472131726</v>
      </c>
      <c r="D207" s="9">
        <f>(B207 - C207)*(Bandwidth10thP2*ongoingResourcePercent10thP2*POWER(1+bandwidthGrowth,A207)*mbToGB*KBperGB)/(compactBlockCompactedness+missingTransactionRate)</f>
        <v>83015.088621656367</v>
      </c>
      <c r="E207" s="9">
        <f>(B207 - C207)*avgTrSize*(Throughput10thP2*ongoingResourcePercent10thP2*POWER(1+cpuGrowth,A207))/missingTransactionRate/1000</f>
        <v>56100.932769806401</v>
      </c>
      <c r="F207" s="9">
        <f t="shared" ref="F207:F221" si="33">MIN(D207,E207)</f>
        <v>56100.932769806401</v>
      </c>
      <c r="G207" s="6">
        <f>F207*1000/secondsPerBlock/avgTrSize</f>
        <v>196.8453781396716</v>
      </c>
      <c r="H207" s="146">
        <f>F207*(missingTransactionRate+compactBlockCompactedness)/(Bandwidth10thP2*ongoingResourcePercent10thP2*POWER(1+bandwidthGrowth,A207)*mbToGB*KBperGB)</f>
        <v>1.3643746849616916</v>
      </c>
      <c r="I207" s="147">
        <f>(F207*missingTransactionRate*1000/avgTrSize)/(Throughput10thP2*ongoingResourcePercent10thP2*POWER(1+cpuGrowth,A207))</f>
        <v>2.0189269552786828</v>
      </c>
      <c r="J207" s="196">
        <f t="shared" ref="J207:J221" si="34">MAX(H207,I207)+C207</f>
        <v>2.4</v>
      </c>
    </row>
    <row r="208" spans="1:12" s="97" customFormat="1" x14ac:dyDescent="0.25">
      <c r="A208" s="97">
        <v>2</v>
      </c>
      <c r="B208" s="143">
        <f>secondsPerBlock*maximumMinerAdvantage2/targetMinerPercentHashpower2</f>
        <v>2.4</v>
      </c>
      <c r="C208" s="187">
        <f>(((avgHops20-1)*minLastMileLatency) + ((avgHops20-1)*proximityFavoringFactor2*(Latency1stP2-minLastMileLatency)+(Latency10thP2-minLastMileLatency))*(1-(1-POWER(1+latencyGrowth,A208))))/1000</f>
        <v>0.37200163917285717</v>
      </c>
      <c r="D208" s="9">
        <f>(B208 - C208)*(Bandwidth10thP2*ongoingResourcePercent10thP2*POWER(1+bandwidthGrowth,A208)*mbToGB*KBperGB)/(compactBlockCompactedness+missingTransactionRate)</f>
        <v>104235.1131181714</v>
      </c>
      <c r="E208" s="9">
        <f>(B208 - C208)*avgTrSize*(Throughput10thP2*ongoingResourcePercent10thP2*POWER(1+cpuGrowth,A208))/missingTransactionRate/1000</f>
        <v>65933.015208236538</v>
      </c>
      <c r="F208" s="9">
        <f t="shared" si="33"/>
        <v>65933.015208236538</v>
      </c>
      <c r="G208" s="6">
        <f>F208*1000/secondsPerBlock/avgTrSize</f>
        <v>231.34391301135628</v>
      </c>
      <c r="H208" s="146">
        <f>F208*(missingTransactionRate+compactBlockCompactedness)/(Bandwidth10thP2*ongoingResourcePercent10thP2*POWER(1+bandwidthGrowth,A208)*mbToGB*KBperGB)</f>
        <v>1.2827927438914501</v>
      </c>
      <c r="I208" s="147">
        <f>(F208*missingTransactionRate*1000/avgTrSize)/(Throughput10thP2*ongoingResourcePercent10thP2*POWER(1+cpuGrowth,A208))</f>
        <v>2.027998360827143</v>
      </c>
      <c r="J208" s="196">
        <f t="shared" si="34"/>
        <v>2.4000000000000004</v>
      </c>
    </row>
    <row r="209" spans="1:10" s="97" customFormat="1" x14ac:dyDescent="0.25">
      <c r="A209" s="97">
        <v>3</v>
      </c>
      <c r="B209" s="143">
        <f>secondsPerBlock*maximumMinerAdvantage2/targetMinerPercentHashpower2</f>
        <v>2.4</v>
      </c>
      <c r="C209" s="187">
        <f>(((avgHops20-1)*minLastMileLatency) + ((avgHops20-1)*proximityFavoringFactor2*(Latency1stP2-minLastMileLatency)+(Latency10thP2-minLastMileLatency))*(1-(1-POWER(1+latencyGrowth,A209))))/1000</f>
        <v>0.36320237579085085</v>
      </c>
      <c r="D209" s="9">
        <f>(B209 - C209)*(Bandwidth10thP2*ongoingResourcePercent10thP2*POWER(1+bandwidthGrowth,A209)*mbToGB*KBperGB)/(compactBlockCompactedness+missingTransactionRate)</f>
        <v>130859.22236129917</v>
      </c>
      <c r="E209" s="9">
        <f>(B209 - C209)*avgTrSize*(Throughput10thP2*ongoingResourcePercent10thP2*POWER(1+cpuGrowth,A209))/missingTransactionRate/1000</f>
        <v>77476.336890934093</v>
      </c>
      <c r="F209" s="9">
        <f t="shared" si="33"/>
        <v>77476.336890934093</v>
      </c>
      <c r="G209" s="6">
        <f>F209*1000/secondsPerBlock/avgTrSize</f>
        <v>271.84679610854067</v>
      </c>
      <c r="H209" s="146">
        <f>F209*(missingTransactionRate+compactBlockCompactedness)/(Bandwidth10thP2*ongoingResourcePercent10thP2*POWER(1+bandwidthGrowth,A209)*mbToGB*KBperGB)</f>
        <v>1.2059036884400109</v>
      </c>
      <c r="I209" s="147">
        <f>(F209*missingTransactionRate*1000/avgTrSize)/(Throughput10thP2*ongoingResourcePercent10thP2*POWER(1+cpuGrowth,A209))</f>
        <v>2.0367976242091497</v>
      </c>
      <c r="J209" s="196">
        <f t="shared" si="34"/>
        <v>2.4000000000000004</v>
      </c>
    </row>
    <row r="210" spans="1:10" s="97" customFormat="1" x14ac:dyDescent="0.25">
      <c r="A210" s="97">
        <v>4</v>
      </c>
      <c r="B210" s="143">
        <f>secondsPerBlock*maximumMinerAdvantage2/targetMinerPercentHashpower2</f>
        <v>2.4</v>
      </c>
      <c r="C210" s="187">
        <f>(((avgHops20-1)*minLastMileLatency) + ((avgHops20-1)*proximityFavoringFactor2*(Latency1stP2-minLastMileLatency)+(Latency10thP2-minLastMileLatency))*(1-(1-POWER(1+latencyGrowth,A210))))/1000</f>
        <v>0.35466709031030474</v>
      </c>
      <c r="D210" s="9">
        <f>(B210 - C210)*(Bandwidth10thP2*ongoingResourcePercent10thP2*POWER(1+bandwidthGrowth,A210)*mbToGB*KBperGB)/(compactBlockCompactedness+missingTransactionRate)</f>
        <v>164259.49174497064</v>
      </c>
      <c r="E210" s="9">
        <f>(B210 - C210)*avgTrSize*(Throughput10thP2*ongoingResourcePercent10thP2*POWER(1+cpuGrowth,A210))/missingTransactionRate/1000</f>
        <v>91027.175516915595</v>
      </c>
      <c r="F210" s="9">
        <f t="shared" si="33"/>
        <v>91027.175516915595</v>
      </c>
      <c r="G210" s="6">
        <f>F210*1000/secondsPerBlock/avgTrSize</f>
        <v>319.39359830496699</v>
      </c>
      <c r="H210" s="146">
        <f>F210*(missingTransactionRate+compactBlockCompactedness)/(Bandwidth10thP2*ongoingResourcePercent10thP2*POWER(1+bandwidthGrowth,A210)*mbToGB*KBperGB)</f>
        <v>1.1334558251885503</v>
      </c>
      <c r="I210" s="147">
        <f>(F210*missingTransactionRate*1000/avgTrSize)/(Throughput10thP2*ongoingResourcePercent10thP2*POWER(1+cpuGrowth,A210))</f>
        <v>2.0453329096896957</v>
      </c>
      <c r="J210" s="196">
        <f t="shared" si="34"/>
        <v>2.4000000000000004</v>
      </c>
    </row>
    <row r="211" spans="1:10" s="97" customFormat="1" x14ac:dyDescent="0.25">
      <c r="A211" s="97">
        <v>5</v>
      </c>
      <c r="B211" s="143">
        <f>secondsPerBlock*maximumMinerAdvantage2/targetMinerPercentHashpower2</f>
        <v>2.4</v>
      </c>
      <c r="C211" s="187">
        <f>(((avgHops20-1)*minLastMileLatency) + ((avgHops20-1)*proximityFavoringFactor2*(Latency1stP2-minLastMileLatency)+(Latency10thP2-minLastMileLatency))*(1-(1-POWER(1+latencyGrowth,A211))))/1000</f>
        <v>0.34638786339417504</v>
      </c>
      <c r="D211" s="9">
        <f>(B211 - C211)*(Bandwidth10thP2*ongoingResourcePercent10thP2*POWER(1+bandwidthGrowth,A211)*mbToGB*KBperGB)/(compactBlockCompactedness+missingTransactionRate)</f>
        <v>206155.48953064615</v>
      </c>
      <c r="E211" s="9">
        <f>(B211 - C211)*avgTrSize*(Throughput10thP2*ongoingResourcePercent10thP2*POWER(1+cpuGrowth,A211))/missingTransactionRate/1000</f>
        <v>106932.90000603907</v>
      </c>
      <c r="F211" s="9">
        <f t="shared" si="33"/>
        <v>106932.90000603907</v>
      </c>
      <c r="G211" s="6">
        <f>F211*1000/secondsPerBlock/avgTrSize</f>
        <v>375.20315791592657</v>
      </c>
      <c r="H211" s="146">
        <f>F211*(missingTransactionRate+compactBlockCompactedness)/(Bandwidth10thP2*ongoingResourcePercent10thP2*POWER(1+bandwidthGrowth,A211)*mbToGB*KBperGB)</f>
        <v>1.0652090892889579</v>
      </c>
      <c r="I211" s="147">
        <f>(F211*missingTransactionRate*1000/avgTrSize)/(Throughput10thP2*ongoingResourcePercent10thP2*POWER(1+cpuGrowth,A211))</f>
        <v>2.0536121366058246</v>
      </c>
      <c r="J211" s="196">
        <f t="shared" si="34"/>
        <v>2.3999999999999995</v>
      </c>
    </row>
    <row r="212" spans="1:10" s="97" customFormat="1" x14ac:dyDescent="0.25">
      <c r="A212" s="97">
        <v>6</v>
      </c>
      <c r="B212" s="143">
        <f>secondsPerBlock*maximumMinerAdvantage2/targetMinerPercentHashpower2</f>
        <v>2.4</v>
      </c>
      <c r="C212" s="187">
        <f>(((avgHops20-1)*minLastMileLatency) + ((avgHops20-1)*proximityFavoringFactor2*(Latency1stP2-minLastMileLatency)+(Latency10thP2-minLastMileLatency))*(1-(1-POWER(1+latencyGrowth,A212))))/1000</f>
        <v>0.3383570132855292</v>
      </c>
      <c r="D212" s="9">
        <f>(B212 - C212)*(Bandwidth10thP2*ongoingResourcePercent10thP2*POWER(1+bandwidthGrowth,A212)*mbToGB*KBperGB)/(compactBlockCompactedness+missingTransactionRate)</f>
        <v>258702.10079324504</v>
      </c>
      <c r="E212" s="9">
        <f>(B212 - C212)*avgTrSize*(Throughput10thP2*ongoingResourcePercent10thP2*POWER(1+cpuGrowth,A212))/missingTransactionRate/1000</f>
        <v>125600.75367576689</v>
      </c>
      <c r="F212" s="9">
        <f t="shared" si="33"/>
        <v>125600.75367576689</v>
      </c>
      <c r="G212" s="6">
        <f>F212*1000/secondsPerBlock/avgTrSize</f>
        <v>440.70439886233999</v>
      </c>
      <c r="H212" s="146">
        <f>F212*(missingTransactionRate+compactBlockCompactedness)/(Bandwidth10thP2*ongoingResourcePercent10thP2*POWER(1+bandwidthGrowth,A212)*mbToGB*KBperGB)</f>
        <v>1.0009347127360391</v>
      </c>
      <c r="I212" s="147">
        <f>(F212*missingTransactionRate*1000/avgTrSize)/(Throughput10thP2*ongoingResourcePercent10thP2*POWER(1+cpuGrowth,A212))</f>
        <v>2.0616429867144705</v>
      </c>
      <c r="J212" s="196">
        <f t="shared" si="34"/>
        <v>2.4</v>
      </c>
    </row>
    <row r="213" spans="1:10" s="97" customFormat="1" x14ac:dyDescent="0.25">
      <c r="A213" s="97">
        <v>7</v>
      </c>
      <c r="B213" s="143">
        <f>secondsPerBlock*maximumMinerAdvantage2/targetMinerPercentHashpower2</f>
        <v>2.4</v>
      </c>
      <c r="C213" s="187">
        <f>(((avgHops20-1)*minLastMileLatency) + ((avgHops20-1)*proximityFavoringFactor2*(Latency1stP2-minLastMileLatency)+(Latency10thP2-minLastMileLatency))*(1-(1-POWER(1+latencyGrowth,A213))))/1000</f>
        <v>0.33056708868014278</v>
      </c>
      <c r="D213" s="9">
        <f>(B213 - C213)*(Bandwidth10thP2*ongoingResourcePercent10thP2*POWER(1+bandwidthGrowth,A213)*mbToGB*KBperGB)/(compactBlockCompactedness+missingTransactionRate)</f>
        <v>324599.50938348036</v>
      </c>
      <c r="E213" s="9">
        <f>(B213 - C213)*avgTrSize*(Throughput10thP2*ongoingResourcePercent10thP2*POWER(1+cpuGrowth,A213))/missingTransactionRate/1000</f>
        <v>147508.14373355624</v>
      </c>
      <c r="F213" s="9">
        <f t="shared" si="33"/>
        <v>147508.14373355624</v>
      </c>
      <c r="G213" s="6">
        <f>F213*1000/secondsPerBlock/avgTrSize</f>
        <v>517.57243415282892</v>
      </c>
      <c r="H213" s="146">
        <f>F213*(missingTransactionRate+compactBlockCompactedness)/(Bandwidth10thP2*ongoingResourcePercent10thP2*POWER(1+bandwidthGrowth,A213)*mbToGB*KBperGB)</f>
        <v>0.94041487588722927</v>
      </c>
      <c r="I213" s="147">
        <f>(F213*missingTransactionRate*1000/avgTrSize)/(Throughput10thP2*ongoingResourcePercent10thP2*POWER(1+cpuGrowth,A213))</f>
        <v>2.0694329113198573</v>
      </c>
      <c r="J213" s="196">
        <f t="shared" si="34"/>
        <v>2.4</v>
      </c>
    </row>
    <row r="214" spans="1:10" s="97" customFormat="1" x14ac:dyDescent="0.25">
      <c r="A214" s="97">
        <v>8</v>
      </c>
      <c r="B214" s="143">
        <f>secondsPerBlock*maximumMinerAdvantage2/targetMinerPercentHashpower2</f>
        <v>2.4</v>
      </c>
      <c r="C214" s="187">
        <f>(((avgHops20-1)*minLastMileLatency) + ((avgHops20-1)*proximityFavoringFactor2*(Latency1stP2-minLastMileLatency)+(Latency10thP2-minLastMileLatency))*(1-(1-POWER(1+latencyGrowth,A214))))/1000</f>
        <v>0.32301086181291788</v>
      </c>
      <c r="D214" s="9">
        <f>(B214 - C214)*(Bandwidth10thP2*ongoingResourcePercent10thP2*POWER(1+bandwidthGrowth,A214)*mbToGB*KBperGB)/(compactBlockCompactedness+missingTransactionRate)</f>
        <v>407230.92034205835</v>
      </c>
      <c r="E214" s="9">
        <f>(B214 - C214)*avgTrSize*(Throughput10thP2*ongoingResourcePercent10thP2*POWER(1+cpuGrowth,A214))/missingTransactionRate/1000</f>
        <v>173214.69493591916</v>
      </c>
      <c r="F214" s="9">
        <f t="shared" si="33"/>
        <v>173214.69493591916</v>
      </c>
      <c r="G214" s="6">
        <f>F214*1000/secondsPerBlock/avgTrSize</f>
        <v>607.77085942427777</v>
      </c>
      <c r="H214" s="146">
        <f>F214*(missingTransactionRate+compactBlockCompactedness)/(Bandwidth10thP2*ongoingResourcePercent10thP2*POWER(1+bandwidthGrowth,A214)*mbToGB*KBperGB)</f>
        <v>0.88344234679946265</v>
      </c>
      <c r="I214" s="147">
        <f>(F214*missingTransactionRate*1000/avgTrSize)/(Throughput10thP2*ongoingResourcePercent10thP2*POWER(1+cpuGrowth,A214))</f>
        <v>2.0769891381870815</v>
      </c>
      <c r="J214" s="196">
        <f t="shared" si="34"/>
        <v>2.3999999999999995</v>
      </c>
    </row>
    <row r="215" spans="1:10" s="97" customFormat="1" x14ac:dyDescent="0.25">
      <c r="A215" s="97">
        <v>9</v>
      </c>
      <c r="B215" s="143">
        <f>secondsPerBlock*maximumMinerAdvantage2/targetMinerPercentHashpower2</f>
        <v>2.4</v>
      </c>
      <c r="C215" s="187">
        <f>(((avgHops20-1)*minLastMileLatency) + ((avgHops20-1)*proximityFavoringFactor2*(Latency1stP2-minLastMileLatency)+(Latency10thP2-minLastMileLatency))*(1-(1-POWER(1+latencyGrowth,A215))))/1000</f>
        <v>0.31568132175170976</v>
      </c>
      <c r="D215" s="9">
        <f>(B215 - C215)*(Bandwidth10thP2*ongoingResourcePercent10thP2*POWER(1+bandwidthGrowth,A215)*mbToGB*KBperGB)/(compactBlockCompactedness+missingTransactionRate)</f>
        <v>510835.00993298128</v>
      </c>
      <c r="E215" s="9">
        <f>(B215 - C215)*avgTrSize*(Throughput10thP2*ongoingResourcePercent10thP2*POWER(1+cpuGrowth,A215))/missingTransactionRate/1000</f>
        <v>203376.36933964089</v>
      </c>
      <c r="F215" s="9">
        <f t="shared" si="33"/>
        <v>203376.36933964089</v>
      </c>
      <c r="G215" s="6">
        <f>F215*1000/secondsPerBlock/avgTrSize</f>
        <v>713.60129592856458</v>
      </c>
      <c r="H215" s="146">
        <f>F215*(missingTransactionRate+compactBlockCompactedness)/(Bandwidth10thP2*ongoingResourcePercent10thP2*POWER(1+bandwidthGrowth,A215)*mbToGB*KBperGB)</f>
        <v>0.82982011233832598</v>
      </c>
      <c r="I215" s="147">
        <f>(F215*missingTransactionRate*1000/avgTrSize)/(Throughput10thP2*ongoingResourcePercent10thP2*POWER(1+cpuGrowth,A215))</f>
        <v>2.0843186782482901</v>
      </c>
      <c r="J215" s="196">
        <f t="shared" si="34"/>
        <v>2.4</v>
      </c>
    </row>
    <row r="216" spans="1:10" s="97" customFormat="1" x14ac:dyDescent="0.25">
      <c r="A216" s="97">
        <v>10</v>
      </c>
      <c r="B216" s="143">
        <f>secondsPerBlock*maximumMinerAdvantage2/targetMinerPercentHashpower2</f>
        <v>2.4</v>
      </c>
      <c r="C216" s="187">
        <f>(((avgHops20-1)*minLastMileLatency) + ((avgHops20-1)*proximityFavoringFactor2*(Latency1stP2-minLastMileLatency)+(Latency10thP2-minLastMileLatency))*(1-(1-POWER(1+latencyGrowth,A216))))/1000</f>
        <v>0.30857166789233792</v>
      </c>
      <c r="D216" s="9">
        <f>(B216 - C216)*(Bandwidth10thP2*ongoingResourcePercent10thP2*POWER(1+bandwidthGrowth,A216)*mbToGB*KBperGB)/(compactBlockCompactedness+missingTransactionRate)</f>
        <v>640721.84831653407</v>
      </c>
      <c r="E216" s="9">
        <f>(B216 - C216)*avgTrSize*(Throughput10thP2*ongoingResourcePercent10thP2*POWER(1+cpuGrowth,A216))/missingTransactionRate/1000</f>
        <v>238762.00567009201</v>
      </c>
      <c r="F216" s="9">
        <f t="shared" si="33"/>
        <v>238762.00567009201</v>
      </c>
      <c r="G216" s="6">
        <f>F216*1000/secondsPerBlock/avgTrSize</f>
        <v>837.7614234038316</v>
      </c>
      <c r="H216" s="146">
        <f>F216*(missingTransactionRate+compactBlockCompactedness)/(Bandwidth10thP2*ongoingResourcePercent10thP2*POWER(1+bandwidthGrowth,A216)*mbToGB*KBperGB)</f>
        <v>0.77936100446911294</v>
      </c>
      <c r="I216" s="147">
        <f>(F216*missingTransactionRate*1000/avgTrSize)/(Throughput10thP2*ongoingResourcePercent10thP2*POWER(1+cpuGrowth,A216))</f>
        <v>2.0914283321076619</v>
      </c>
      <c r="J216" s="196">
        <f t="shared" si="34"/>
        <v>2.4</v>
      </c>
    </row>
    <row r="217" spans="1:10" s="97" customFormat="1" x14ac:dyDescent="0.25">
      <c r="A217" s="97">
        <v>11</v>
      </c>
      <c r="B217" s="143">
        <f>secondsPerBlock*maximumMinerAdvantage2/targetMinerPercentHashpower2</f>
        <v>2.4</v>
      </c>
      <c r="C217" s="187">
        <f>(((avgHops20-1)*minLastMileLatency) + ((avgHops20-1)*proximityFavoringFactor2*(Latency1stP2-minLastMileLatency)+(Latency10thP2-minLastMileLatency))*(1-(1-POWER(1+latencyGrowth,A217))))/1000</f>
        <v>0.30167530364874717</v>
      </c>
      <c r="D217" s="9">
        <f>(B217 - C217)*(Bandwidth10thP2*ongoingResourcePercent10thP2*POWER(1+bandwidthGrowth,A217)*mbToGB*KBperGB)/(compactBlockCompactedness+missingTransactionRate)</f>
        <v>803543.23954979074</v>
      </c>
      <c r="E217" s="9">
        <f>(B217 - C217)*avgTrSize*(Throughput10thP2*ongoingResourcePercent10thP2*POWER(1+cpuGrowth,A217))/missingTransactionRate/1000</f>
        <v>280272.69223963172</v>
      </c>
      <c r="F217" s="9">
        <f t="shared" si="33"/>
        <v>280272.69223963172</v>
      </c>
      <c r="G217" s="6">
        <f>F217*1000/secondsPerBlock/avgTrSize</f>
        <v>983.41295522677797</v>
      </c>
      <c r="H217" s="146">
        <f>F217*(missingTransactionRate+compactBlockCompactedness)/(Bandwidth10thP2*ongoingResourcePercent10thP2*POWER(1+bandwidthGrowth,A217)*mbToGB*KBperGB)</f>
        <v>0.7318873246557035</v>
      </c>
      <c r="I217" s="147">
        <f>(F217*missingTransactionRate*1000/avgTrSize)/(Throughput10thP2*ongoingResourcePercent10thP2*POWER(1+cpuGrowth,A217))</f>
        <v>2.098324696351253</v>
      </c>
      <c r="J217" s="196">
        <f t="shared" si="34"/>
        <v>2.4000000000000004</v>
      </c>
    </row>
    <row r="218" spans="1:10" s="97" customFormat="1" x14ac:dyDescent="0.25">
      <c r="A218" s="97">
        <v>12</v>
      </c>
      <c r="B218" s="143">
        <f>secondsPerBlock*maximumMinerAdvantage2/targetMinerPercentHashpower2</f>
        <v>2.4</v>
      </c>
      <c r="C218" s="187">
        <f>(((avgHops20-1)*minLastMileLatency) + ((avgHops20-1)*proximityFavoringFactor2*(Latency1stP2-minLastMileLatency)+(Latency10thP2-minLastMileLatency))*(1-(1-POWER(1+latencyGrowth,A218))))/1000</f>
        <v>0.29498583033246417</v>
      </c>
      <c r="D218" s="9">
        <f>(B218 - C218)*(Bandwidth10thP2*ongoingResourcePercent10thP2*POWER(1+bandwidthGrowth,A218)*mbToGB*KBperGB)/(compactBlockCompactedness+missingTransactionRate)</f>
        <v>1007631.1760366124</v>
      </c>
      <c r="E218" s="9">
        <f>(B218 - C218)*avgTrSize*(Throughput10thP2*ongoingResourcePercent10thP2*POWER(1+cpuGrowth,A218))/missingTransactionRate/1000</f>
        <v>328964.45806819171</v>
      </c>
      <c r="F218" s="9">
        <f t="shared" si="33"/>
        <v>328964.45806819171</v>
      </c>
      <c r="G218" s="6">
        <f>F218*1000/secondsPerBlock/avgTrSize</f>
        <v>1154.2612563796199</v>
      </c>
      <c r="H218" s="146">
        <f>F218*(missingTransactionRate+compactBlockCompactedness)/(Bandwidth10thP2*ongoingResourcePercent10thP2*POWER(1+bandwidthGrowth,A218)*mbToGB*KBperGB)</f>
        <v>0.68723046886491357</v>
      </c>
      <c r="I218" s="147">
        <f>(F218*missingTransactionRate*1000/avgTrSize)/(Throughput10thP2*ongoingResourcePercent10thP2*POWER(1+cpuGrowth,A218))</f>
        <v>2.1050141696675357</v>
      </c>
      <c r="J218" s="196">
        <f t="shared" si="34"/>
        <v>2.4</v>
      </c>
    </row>
    <row r="219" spans="1:10" s="97" customFormat="1" x14ac:dyDescent="0.25">
      <c r="A219" s="97">
        <v>13</v>
      </c>
      <c r="B219" s="143">
        <f>secondsPerBlock*maximumMinerAdvantage2/targetMinerPercentHashpower2</f>
        <v>2.4</v>
      </c>
      <c r="C219" s="187">
        <f>(((avgHops20-1)*minLastMileLatency) + ((avgHops20-1)*proximityFavoringFactor2*(Latency1stP2-minLastMileLatency)+(Latency10thP2-minLastMileLatency))*(1-(1-POWER(1+latencyGrowth,A219))))/1000</f>
        <v>0.28849704121566971</v>
      </c>
      <c r="D219" s="9">
        <f>(B219 - C219)*(Bandwidth10thP2*ongoingResourcePercent10thP2*POWER(1+bandwidthGrowth,A219)*mbToGB*KBperGB)/(compactBlockCompactedness+missingTransactionRate)</f>
        <v>1263421.5485475066</v>
      </c>
      <c r="E219" s="9">
        <f>(B219 - C219)*avgTrSize*(Throughput10thP2*ongoingResourcePercent10thP2*POWER(1+cpuGrowth,A219))/missingTransactionRate/1000</f>
        <v>386074.84964674822</v>
      </c>
      <c r="F219" s="9">
        <f t="shared" si="33"/>
        <v>386074.84964674822</v>
      </c>
      <c r="G219" s="6">
        <f>F219*1000/secondsPerBlock/avgTrSize</f>
        <v>1354.6485952517482</v>
      </c>
      <c r="H219" s="146">
        <f>F219*(missingTransactionRate+compactBlockCompactedness)/(Bandwidth10thP2*ongoingResourcePercent10thP2*POWER(1+bandwidthGrowth,A219)*mbToGB*KBperGB)</f>
        <v>0.64523055529527529</v>
      </c>
      <c r="I219" s="147">
        <f>(F219*missingTransactionRate*1000/avgTrSize)/(Throughput10thP2*ongoingResourcePercent10thP2*POWER(1+cpuGrowth,A219))</f>
        <v>2.1115029587843304</v>
      </c>
      <c r="J219" s="196">
        <f t="shared" si="34"/>
        <v>2.4</v>
      </c>
    </row>
    <row r="220" spans="1:10" s="97" customFormat="1" x14ac:dyDescent="0.25">
      <c r="A220" s="97">
        <v>14</v>
      </c>
      <c r="B220" s="143">
        <f>secondsPerBlock*maximumMinerAdvantage2/targetMinerPercentHashpower2</f>
        <v>2.4</v>
      </c>
      <c r="C220" s="187">
        <f>(((avgHops20-1)*minLastMileLatency) + ((avgHops20-1)*proximityFavoringFactor2*(Latency1stP2-minLastMileLatency)+(Latency10thP2-minLastMileLatency))*(1-(1-POWER(1+latencyGrowth,A220))))/1000</f>
        <v>0.28220291577237899</v>
      </c>
      <c r="D220" s="9">
        <f>(B220 - C220)*(Bandwidth10thP2*ongoingResourcePercent10thP2*POWER(1+bandwidthGrowth,A220)*mbToGB*KBperGB)/(compactBlockCompactedness+missingTransactionRate)</f>
        <v>1583984.5621177442</v>
      </c>
      <c r="E220" s="9">
        <f>(B220 - C220)*avgTrSize*(Throughput10thP2*ongoingResourcePercent10thP2*POWER(1+cpuGrowth,A220))/missingTransactionRate/1000</f>
        <v>453054.05770072888</v>
      </c>
      <c r="F220" s="9">
        <f t="shared" si="33"/>
        <v>453054.05770072888</v>
      </c>
      <c r="G220" s="6">
        <f>F220*1000/secondsPerBlock/avgTrSize</f>
        <v>1589.6633603534347</v>
      </c>
      <c r="H220" s="146">
        <f>F220*(missingTransactionRate+compactBlockCompactedness)/(Bandwidth10thP2*ongoingResourcePercent10thP2*POWER(1+bandwidthGrowth,A220)*mbToGB*KBperGB)</f>
        <v>0.60573605661490904</v>
      </c>
      <c r="I220" s="147">
        <f>(F220*missingTransactionRate*1000/avgTrSize)/(Throughput10thP2*ongoingResourcePercent10thP2*POWER(1+cpuGrowth,A220))</f>
        <v>2.1177970842276208</v>
      </c>
      <c r="J220" s="196">
        <f t="shared" si="34"/>
        <v>2.4</v>
      </c>
    </row>
    <row r="221" spans="1:10" s="97" customFormat="1" x14ac:dyDescent="0.25">
      <c r="A221" s="97">
        <v>15</v>
      </c>
      <c r="B221" s="143">
        <f>secondsPerBlock*maximumMinerAdvantage2/targetMinerPercentHashpower2</f>
        <v>2.4</v>
      </c>
      <c r="C221" s="187">
        <f>(((avgHops20-1)*minLastMileLatency) + ((avgHops20-1)*proximityFavoringFactor2*(Latency1stP2-minLastMileLatency)+(Latency10thP2-minLastMileLatency))*(1-(1-POWER(1+latencyGrowth,A221))))/1000</f>
        <v>0.27609761409238709</v>
      </c>
      <c r="D221" s="9">
        <f>(B221 - C221)*(Bandwidth10thP2*ongoingResourcePercent10thP2*POWER(1+bandwidthGrowth,A221)*mbToGB*KBperGB)/(compactBlockCompactedness+missingTransactionRate)</f>
        <v>1985688.6996976307</v>
      </c>
      <c r="E221" s="9">
        <f>(B221 - C221)*avgTrSize*(Throughput10thP2*ongoingResourcePercent10thP2*POWER(1+cpuGrowth,A221))/missingTransactionRate/1000</f>
        <v>531601.37176341913</v>
      </c>
      <c r="F221" s="9">
        <f t="shared" si="33"/>
        <v>531601.37176341913</v>
      </c>
      <c r="G221" s="6">
        <f>F221*1000/secondsPerBlock/avgTrSize</f>
        <v>1865.2679710997163</v>
      </c>
      <c r="H221" s="146">
        <f>F221*(missingTransactionRate+compactBlockCompactedness)/(Bandwidth10thP2*ongoingResourcePercent10thP2*POWER(1+bandwidthGrowth,A221)*mbToGB*KBperGB)</f>
        <v>0.56860343819855252</v>
      </c>
      <c r="I221" s="147">
        <f>(F221*missingTransactionRate*1000/avgTrSize)/(Throughput10thP2*ongoingResourcePercent10thP2*POWER(1+cpuGrowth,A221))</f>
        <v>2.1239023859076127</v>
      </c>
      <c r="J221" s="196">
        <f t="shared" si="34"/>
        <v>2.4</v>
      </c>
    </row>
    <row r="222" spans="1:10" s="97" customFormat="1" x14ac:dyDescent="0.25">
      <c r="B222" s="143"/>
      <c r="C222" s="9"/>
      <c r="D222" s="147"/>
      <c r="E222" s="146"/>
      <c r="F222" s="146"/>
      <c r="G222" s="148"/>
    </row>
    <row r="223" spans="1:10" s="97" customFormat="1" x14ac:dyDescent="0.25">
      <c r="B223" s="157"/>
      <c r="C223" s="158" t="s">
        <v>154</v>
      </c>
      <c r="D223" s="173"/>
      <c r="E223" s="157"/>
      <c r="F223" s="165"/>
      <c r="G223" s="158" t="s">
        <v>145</v>
      </c>
      <c r="H223" s="173"/>
      <c r="I223" s="157"/>
      <c r="J223" s="167" t="s">
        <v>145</v>
      </c>
    </row>
    <row r="224" spans="1:10" s="97" customFormat="1" x14ac:dyDescent="0.25">
      <c r="B224" s="159" t="s">
        <v>134</v>
      </c>
      <c r="C224" s="160" t="s">
        <v>134</v>
      </c>
      <c r="D224" s="173"/>
      <c r="E224" s="159" t="s">
        <v>32</v>
      </c>
      <c r="F224" s="166" t="s">
        <v>101</v>
      </c>
      <c r="G224" s="160" t="s">
        <v>146</v>
      </c>
      <c r="H224" s="173"/>
      <c r="I224" s="159" t="s">
        <v>32</v>
      </c>
      <c r="J224" s="160" t="s">
        <v>147</v>
      </c>
    </row>
    <row r="225" spans="1:10" s="97" customFormat="1" x14ac:dyDescent="0.25">
      <c r="B225" s="161">
        <v>40</v>
      </c>
      <c r="C225" s="162">
        <f>(avgHops19-1+3)*B225/1000</f>
        <v>0.28396252649193254</v>
      </c>
      <c r="E225" s="168">
        <v>2000</v>
      </c>
      <c r="F225" s="170">
        <v>1000</v>
      </c>
      <c r="G225" s="162">
        <f>(E225*missingTransactionRate*1000/avgTrSize)/(F225*ongoingResourcePercent90thP1)</f>
        <v>0.4210526315789474</v>
      </c>
      <c r="I225" s="168">
        <v>1000</v>
      </c>
      <c r="J225" s="162">
        <f>I225*(missingTransactionRate+compactBlockCompactedness)/(avgRelayBandwidth*0.1*mbToGB*KBperGB)</f>
        <v>1.52</v>
      </c>
    </row>
    <row r="226" spans="1:10" s="97" customFormat="1" x14ac:dyDescent="0.25">
      <c r="B226" s="161">
        <v>50</v>
      </c>
      <c r="C226" s="162">
        <f>(avgHops19-1+3)*B226/1000</f>
        <v>0.35495315811491568</v>
      </c>
      <c r="E226" s="168">
        <v>2000</v>
      </c>
      <c r="F226" s="170">
        <v>2000</v>
      </c>
      <c r="G226" s="162">
        <f>(E226*missingTransactionRate*1000/avgTrSize)/(F226*ongoingResourcePercent90thP1)</f>
        <v>0.2105263157894737</v>
      </c>
      <c r="I226" s="168">
        <v>2000</v>
      </c>
      <c r="J226" s="162">
        <f>I226*(missingTransactionRate+compactBlockCompactedness)/(avgRelayBandwidth*0.1*mbToGB*KBperGB)</f>
        <v>3.04</v>
      </c>
    </row>
    <row r="227" spans="1:10" s="97" customFormat="1" x14ac:dyDescent="0.25">
      <c r="B227" s="161">
        <v>60</v>
      </c>
      <c r="C227" s="162">
        <f>(avgHops19-1+3)*B227/1000</f>
        <v>0.42594378973789876</v>
      </c>
      <c r="E227" s="168">
        <v>2000</v>
      </c>
      <c r="F227" s="170">
        <v>3000</v>
      </c>
      <c r="G227" s="162">
        <f>(E227*missingTransactionRate*1000/avgTrSize)/(F227*ongoingResourcePercent90thP1)</f>
        <v>0.14035087719298248</v>
      </c>
      <c r="I227" s="168">
        <v>3000</v>
      </c>
      <c r="J227" s="162">
        <f>I227*(missingTransactionRate+compactBlockCompactedness)/(avgRelayBandwidth*0.1*mbToGB*KBperGB)</f>
        <v>4.5599999999999996</v>
      </c>
    </row>
    <row r="228" spans="1:10" s="97" customFormat="1" x14ac:dyDescent="0.25">
      <c r="B228" s="161">
        <v>70</v>
      </c>
      <c r="C228" s="162">
        <f>(avgHops19-1+3)*B228/1000</f>
        <v>0.49693442136088189</v>
      </c>
      <c r="E228" s="168">
        <v>2000</v>
      </c>
      <c r="F228" s="170">
        <v>4000</v>
      </c>
      <c r="G228" s="162">
        <f>(E228*missingTransactionRate*1000/avgTrSize)/(F228*ongoingResourcePercent90thP1)</f>
        <v>0.10526315789473685</v>
      </c>
      <c r="I228" s="168">
        <v>4000</v>
      </c>
      <c r="J228" s="162">
        <f>I228*(missingTransactionRate+compactBlockCompactedness)/(avgRelayBandwidth*0.1*mbToGB*KBperGB)</f>
        <v>6.08</v>
      </c>
    </row>
    <row r="229" spans="1:10" s="97" customFormat="1" x14ac:dyDescent="0.25">
      <c r="B229" s="161">
        <v>80</v>
      </c>
      <c r="C229" s="162">
        <f>(avgHops19-1+3)*B229/1000</f>
        <v>0.56792505298386509</v>
      </c>
      <c r="E229" s="168">
        <v>2000</v>
      </c>
      <c r="F229" s="170">
        <v>5000</v>
      </c>
      <c r="G229" s="162">
        <f>(E229*missingTransactionRate*1000/avgTrSize)/(F229*ongoingResourcePercent90thP1)</f>
        <v>8.4210526315789486E-2</v>
      </c>
      <c r="I229" s="168">
        <v>5000</v>
      </c>
      <c r="J229" s="162">
        <f>I229*(missingTransactionRate+compactBlockCompactedness)/(avgRelayBandwidth*0.1*mbToGB*KBperGB)</f>
        <v>7.6</v>
      </c>
    </row>
    <row r="230" spans="1:10" s="97" customFormat="1" x14ac:dyDescent="0.25">
      <c r="B230" s="161">
        <v>90</v>
      </c>
      <c r="C230" s="162">
        <f>(avgHops19-1+3)*B230/1000</f>
        <v>0.63891568460684811</v>
      </c>
      <c r="E230" s="168">
        <v>2000</v>
      </c>
      <c r="F230" s="170">
        <v>6000</v>
      </c>
      <c r="G230" s="162">
        <f>(E230*missingTransactionRate*1000/avgTrSize)/(F230*ongoingResourcePercent90thP1)</f>
        <v>7.0175438596491238E-2</v>
      </c>
      <c r="I230" s="168">
        <v>6000</v>
      </c>
      <c r="J230" s="162">
        <f>I230*(missingTransactionRate+compactBlockCompactedness)/(avgRelayBandwidth*0.1*mbToGB*KBperGB)</f>
        <v>9.1199999999999992</v>
      </c>
    </row>
    <row r="231" spans="1:10" s="97" customFormat="1" x14ac:dyDescent="0.25">
      <c r="B231" s="161">
        <v>100</v>
      </c>
      <c r="C231" s="162">
        <f>(avgHops19-1+3)*B231/1000</f>
        <v>0.70990631622983136</v>
      </c>
      <c r="E231" s="168">
        <v>2000</v>
      </c>
      <c r="F231" s="170">
        <v>7000</v>
      </c>
      <c r="G231" s="162">
        <f>(E231*missingTransactionRate*1000/avgTrSize)/(F231*ongoingResourcePercent90thP1)</f>
        <v>6.0150375939849628E-2</v>
      </c>
      <c r="I231" s="168">
        <v>7000</v>
      </c>
      <c r="J231" s="162">
        <f>I231*(missingTransactionRate+compactBlockCompactedness)/(avgRelayBandwidth*0.1*mbToGB*KBperGB)</f>
        <v>10.64</v>
      </c>
    </row>
    <row r="232" spans="1:10" s="97" customFormat="1" x14ac:dyDescent="0.25">
      <c r="B232" s="161">
        <v>110</v>
      </c>
      <c r="C232" s="162">
        <f>(avgHops19-1+3)*B232/1000</f>
        <v>0.78089694785281438</v>
      </c>
      <c r="E232" s="168">
        <v>2000</v>
      </c>
      <c r="F232" s="170">
        <v>8000</v>
      </c>
      <c r="G232" s="162">
        <f>(E232*missingTransactionRate*1000/avgTrSize)/(F232*ongoingResourcePercent90thP1)</f>
        <v>5.2631578947368425E-2</v>
      </c>
      <c r="I232" s="168">
        <v>8000</v>
      </c>
      <c r="J232" s="162">
        <f>I232*(missingTransactionRate+compactBlockCompactedness)/(avgRelayBandwidth*0.1*mbToGB*KBperGB)</f>
        <v>12.16</v>
      </c>
    </row>
    <row r="233" spans="1:10" s="97" customFormat="1" x14ac:dyDescent="0.25">
      <c r="B233" s="161">
        <v>120</v>
      </c>
      <c r="C233" s="162">
        <f>(avgHops19-1+3)*B233/1000</f>
        <v>0.85188757947579752</v>
      </c>
      <c r="E233" s="168">
        <v>2000</v>
      </c>
      <c r="F233" s="170">
        <v>9000</v>
      </c>
      <c r="G233" s="162">
        <f>(E233*missingTransactionRate*1000/avgTrSize)/(F233*ongoingResourcePercent90thP1)</f>
        <v>4.6783625730994156E-2</v>
      </c>
      <c r="I233" s="168">
        <v>9000</v>
      </c>
      <c r="J233" s="162">
        <f>I233*(missingTransactionRate+compactBlockCompactedness)/(avgRelayBandwidth*0.1*mbToGB*KBperGB)</f>
        <v>13.68</v>
      </c>
    </row>
    <row r="234" spans="1:10" s="97" customFormat="1" x14ac:dyDescent="0.25">
      <c r="B234" s="161">
        <v>130</v>
      </c>
      <c r="C234" s="162">
        <f>(avgHops19-1+3)*B234/1000</f>
        <v>0.92287821109878065</v>
      </c>
      <c r="E234" s="168">
        <v>2000</v>
      </c>
      <c r="F234" s="170">
        <v>10000</v>
      </c>
      <c r="G234" s="162">
        <f>(E234*missingTransactionRate*1000/avgTrSize)/(F234*ongoingResourcePercent90thP1)</f>
        <v>4.2105263157894743E-2</v>
      </c>
      <c r="I234" s="168">
        <v>10000</v>
      </c>
      <c r="J234" s="162">
        <f>I234*(missingTransactionRate+compactBlockCompactedness)/(avgRelayBandwidth*0.1*mbToGB*KBperGB)</f>
        <v>15.2</v>
      </c>
    </row>
    <row r="235" spans="1:10" s="97" customFormat="1" x14ac:dyDescent="0.25">
      <c r="B235" s="163">
        <v>140</v>
      </c>
      <c r="C235" s="164">
        <f>(avgHops19-1+3)*B235/1000</f>
        <v>0.99386884272176379</v>
      </c>
      <c r="E235" s="169">
        <v>2000</v>
      </c>
      <c r="F235" s="171">
        <v>11000</v>
      </c>
      <c r="G235" s="164">
        <f>(E235*missingTransactionRate*1000/avgTrSize)/(F235*ongoingResourcePercent90thP1)</f>
        <v>3.8277511961722493E-2</v>
      </c>
      <c r="I235" s="169">
        <v>11000</v>
      </c>
      <c r="J235" s="164">
        <f>I235*(missingTransactionRate+compactBlockCompactedness)/(avgRelayBandwidth*0.1*mbToGB*KBperGB)</f>
        <v>16.72</v>
      </c>
    </row>
    <row r="237" spans="1:10" x14ac:dyDescent="0.25">
      <c r="A237" s="102" t="s">
        <v>120</v>
      </c>
    </row>
    <row r="239" spans="1:10" x14ac:dyDescent="0.25">
      <c r="B239" s="98" t="s">
        <v>121</v>
      </c>
      <c r="C239" s="98" t="s">
        <v>122</v>
      </c>
      <c r="D239" s="98" t="s">
        <v>124</v>
      </c>
    </row>
    <row r="240" spans="1:10" x14ac:dyDescent="0.25">
      <c r="B240" s="98" t="s">
        <v>106</v>
      </c>
      <c r="C240" s="98" t="s">
        <v>123</v>
      </c>
      <c r="D240" s="98" t="s">
        <v>113</v>
      </c>
    </row>
    <row r="241" spans="1:8" x14ac:dyDescent="0.25">
      <c r="B241" s="105">
        <v>3</v>
      </c>
      <c r="C241" s="23">
        <v>30</v>
      </c>
      <c r="D241" s="127">
        <f>(endGameUsers*1000*1000*1000)*(B241/2)/(C241*24*60*60)</f>
        <v>4629.6296296296296</v>
      </c>
    </row>
    <row r="243" spans="1:8" x14ac:dyDescent="0.25">
      <c r="A243" s="102" t="s">
        <v>129</v>
      </c>
    </row>
    <row r="244" spans="1:8" x14ac:dyDescent="0.25">
      <c r="D244" s="98"/>
      <c r="E244" s="98"/>
      <c r="F244" s="98" t="s">
        <v>31</v>
      </c>
      <c r="G244" s="98" t="s">
        <v>31</v>
      </c>
      <c r="H244" s="98" t="s">
        <v>31</v>
      </c>
    </row>
    <row r="245" spans="1:8" x14ac:dyDescent="0.25">
      <c r="D245" s="98" t="s">
        <v>67</v>
      </c>
      <c r="E245" s="98" t="s">
        <v>68</v>
      </c>
      <c r="F245" s="98" t="s">
        <v>32</v>
      </c>
      <c r="G245" s="98" t="s">
        <v>93</v>
      </c>
      <c r="H245" s="98" t="s">
        <v>35</v>
      </c>
    </row>
    <row r="246" spans="1:8" ht="15.75" x14ac:dyDescent="0.25">
      <c r="A246" s="177" t="s">
        <v>126</v>
      </c>
      <c r="B246" s="177"/>
      <c r="C246" s="177"/>
      <c r="D246" s="95" t="str">
        <f>$A$120</f>
        <v>10th %ile</v>
      </c>
      <c r="E246" s="100">
        <f>E152</f>
        <v>135.91242150024675</v>
      </c>
      <c r="F246" s="117">
        <f>D152</f>
        <v>187.5</v>
      </c>
      <c r="G246" s="118" t="s">
        <v>4</v>
      </c>
      <c r="H246" s="194">
        <f>endGameUsers*utxosPerUserEndGame</f>
        <v>800</v>
      </c>
    </row>
    <row r="247" spans="1:8" ht="15.75" x14ac:dyDescent="0.25">
      <c r="A247" s="177" t="s">
        <v>174</v>
      </c>
      <c r="B247" s="177"/>
      <c r="C247" s="177"/>
      <c r="D247" s="95" t="s">
        <v>170</v>
      </c>
      <c r="E247" s="100">
        <f>G206</f>
        <v>167.46458256631118</v>
      </c>
      <c r="F247" s="113">
        <f>F206/1000</f>
        <v>47.727406031398687</v>
      </c>
      <c r="G247" s="118" t="s">
        <v>4</v>
      </c>
      <c r="H247" s="194">
        <f>endGameUsers*utxosPerUserEndGame</f>
        <v>800</v>
      </c>
    </row>
    <row r="248" spans="1:8" s="97" customFormat="1" ht="15.75" x14ac:dyDescent="0.25">
      <c r="A248" s="177" t="s">
        <v>127</v>
      </c>
      <c r="B248" s="177"/>
      <c r="C248" s="177"/>
      <c r="D248" s="95" t="str">
        <f>$A$120</f>
        <v>10th %ile</v>
      </c>
      <c r="E248" s="45">
        <f>F130</f>
        <v>218.95015316067949</v>
      </c>
      <c r="F248" s="117">
        <f>E130</f>
        <v>62.400793650793652</v>
      </c>
      <c r="G248" s="118" t="s">
        <v>4</v>
      </c>
      <c r="H248" s="194">
        <f>endGameUsers*utxosPerUserEndGame</f>
        <v>800</v>
      </c>
    </row>
    <row r="249" spans="1:8" s="97" customFormat="1" ht="15.75" x14ac:dyDescent="0.25">
      <c r="A249" s="177" t="s">
        <v>113</v>
      </c>
      <c r="B249" s="177"/>
      <c r="C249" s="177"/>
      <c r="D249" s="95" t="str">
        <f>$A$120</f>
        <v>10th %ile</v>
      </c>
      <c r="E249" s="100">
        <f>E174</f>
        <v>1019.3431612518506</v>
      </c>
      <c r="F249" s="117">
        <f>D174</f>
        <v>1406.25</v>
      </c>
      <c r="G249" s="118" t="s">
        <v>4</v>
      </c>
      <c r="H249" s="194">
        <f>endGameUsers*utxosPerUserEndGame</f>
        <v>800</v>
      </c>
    </row>
    <row r="251" spans="1:8" x14ac:dyDescent="0.25">
      <c r="A251" s="102" t="s">
        <v>130</v>
      </c>
      <c r="B251" s="97"/>
      <c r="C251" s="97"/>
    </row>
    <row r="252" spans="1:8" x14ac:dyDescent="0.25">
      <c r="A252" s="97"/>
      <c r="B252" s="97"/>
      <c r="C252" s="97"/>
      <c r="D252" s="98"/>
      <c r="E252" s="98"/>
      <c r="F252" s="98" t="s">
        <v>31</v>
      </c>
      <c r="G252" s="98" t="s">
        <v>31</v>
      </c>
      <c r="H252" s="98" t="s">
        <v>31</v>
      </c>
    </row>
    <row r="253" spans="1:8" x14ac:dyDescent="0.25">
      <c r="D253" s="98" t="s">
        <v>67</v>
      </c>
      <c r="E253" s="98" t="s">
        <v>68</v>
      </c>
      <c r="F253" s="98" t="s">
        <v>32</v>
      </c>
      <c r="G253" s="98" t="s">
        <v>93</v>
      </c>
      <c r="H253" s="98" t="s">
        <v>35</v>
      </c>
    </row>
    <row r="254" spans="1:8" ht="15.75" x14ac:dyDescent="0.25">
      <c r="A254" s="177" t="s">
        <v>174</v>
      </c>
      <c r="B254" s="177"/>
      <c r="C254" s="177"/>
      <c r="D254" s="95" t="s">
        <v>170</v>
      </c>
      <c r="E254" s="100">
        <f>G216</f>
        <v>837.7614234038316</v>
      </c>
      <c r="F254" s="113">
        <f>F216/1000</f>
        <v>238.76200567009201</v>
      </c>
      <c r="G254" s="118" t="s">
        <v>4</v>
      </c>
      <c r="H254" s="194">
        <f>endGameUsers*utxosPerUserEndGame</f>
        <v>800</v>
      </c>
    </row>
    <row r="255" spans="1:8" ht="15.75" x14ac:dyDescent="0.25">
      <c r="A255" s="177" t="s">
        <v>126</v>
      </c>
      <c r="B255" s="177"/>
      <c r="C255" s="177"/>
      <c r="D255" s="95" t="str">
        <f>$A$120</f>
        <v>10th %ile</v>
      </c>
      <c r="E255" s="100">
        <f>E162</f>
        <v>1424.371849574386</v>
      </c>
      <c r="F255" s="117">
        <f>D162</f>
        <v>1746.2298274040222</v>
      </c>
      <c r="G255" s="118" t="s">
        <v>4</v>
      </c>
      <c r="H255" s="194">
        <f>endGameUsers*utxosPerUserEndGame</f>
        <v>800</v>
      </c>
    </row>
    <row r="256" spans="1:8" ht="15.75" x14ac:dyDescent="0.25">
      <c r="A256" s="177" t="s">
        <v>127</v>
      </c>
      <c r="B256" s="177"/>
      <c r="C256" s="177"/>
      <c r="D256" s="95" t="str">
        <f>$A$120</f>
        <v>10th %ile</v>
      </c>
      <c r="E256" s="45">
        <f>F140</f>
        <v>2022.3013022190946</v>
      </c>
      <c r="F256" s="117">
        <f>E140</f>
        <v>576.35587113244208</v>
      </c>
      <c r="G256" s="118" t="s">
        <v>4</v>
      </c>
      <c r="H256" s="194">
        <f>endGameUsers*utxosPerUserEndGame</f>
        <v>800</v>
      </c>
    </row>
    <row r="257" spans="1:8" ht="15.75" x14ac:dyDescent="0.25">
      <c r="A257" s="177" t="s">
        <v>113</v>
      </c>
      <c r="B257" s="177"/>
      <c r="C257" s="177"/>
      <c r="D257" s="95" t="str">
        <f>$A$120</f>
        <v>10th %ile</v>
      </c>
      <c r="E257" s="100">
        <f>E184</f>
        <v>10682.788871807896</v>
      </c>
      <c r="F257" s="117">
        <f>D184</f>
        <v>13096.723705530167</v>
      </c>
      <c r="G257" s="118" t="s">
        <v>4</v>
      </c>
      <c r="H257" s="194">
        <f>endGameUsers*utxosPerUserEndGame</f>
        <v>800</v>
      </c>
    </row>
  </sheetData>
  <mergeCells count="14">
    <mergeCell ref="A254:C254"/>
    <mergeCell ref="A108:C108"/>
    <mergeCell ref="A112:C112"/>
    <mergeCell ref="A109:C109"/>
    <mergeCell ref="A255:C255"/>
    <mergeCell ref="A246:C246"/>
    <mergeCell ref="A248:C248"/>
    <mergeCell ref="A249:C249"/>
    <mergeCell ref="A247:C247"/>
    <mergeCell ref="A257:C257"/>
    <mergeCell ref="A256:C256"/>
    <mergeCell ref="A110:C110"/>
    <mergeCell ref="A111:C111"/>
    <mergeCell ref="A113:C11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3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8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 F248:F249 F246</xm:sqref>
        </x14:conditionalFormatting>
        <x14:conditionalFormatting xmlns:xm="http://schemas.microsoft.com/office/excel/2006/main">
          <x14:cfRule type="cellIs" priority="3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F255:F257</xm:sqref>
        </x14:conditionalFormatting>
        <x14:conditionalFormatting xmlns:xm="http://schemas.microsoft.com/office/excel/2006/main">
          <x14:cfRule type="cellIs" priority="18" operator="lessThan" id="{A26EE87F-1C32-41E6-AC03-91370DB0C051}">
            <xm:f>'Current Bitcoin'!$C$19*1000/'Current Bitcoin'!$C$10/'Current Bitcoin'!$A$15</xm:f>
            <x14:dxf>
              <fill>
                <patternFill>
                  <bgColor rgb="FFFFC7CE"/>
                </patternFill>
              </fill>
            </x14:dxf>
          </x14:cfRule>
          <xm:sqref>E108:E113 E249 E257 E254:E255 E246:E247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123</vt:i4>
      </vt:variant>
    </vt:vector>
  </HeadingPairs>
  <TitlesOfParts>
    <vt:vector size="126" baseType="lpstr">
      <vt:lpstr>Current Bitcoin</vt:lpstr>
      <vt:lpstr>Future Bitcoin</vt:lpstr>
      <vt:lpstr>Sheet3</vt:lpstr>
      <vt:lpstr>assumevalidBlockTime</vt:lpstr>
      <vt:lpstr>assumevalidSpeedup</vt:lpstr>
      <vt:lpstr>avgHops</vt:lpstr>
      <vt:lpstr>avgHops19</vt:lpstr>
      <vt:lpstr>avgHops20</vt:lpstr>
      <vt:lpstr>avgRelayBandwidth</vt:lpstr>
      <vt:lpstr>avgTrSize</vt:lpstr>
      <vt:lpstr>bandwidth1</vt:lpstr>
      <vt:lpstr>bandwidth10</vt:lpstr>
      <vt:lpstr>Bandwidth10thP2</vt:lpstr>
      <vt:lpstr>bandwidth15</vt:lpstr>
      <vt:lpstr>bandwidth2</vt:lpstr>
      <vt:lpstr>bandwidth3</vt:lpstr>
      <vt:lpstr>bandwidth8</vt:lpstr>
      <vt:lpstr>bandwidth8p9</vt:lpstr>
      <vt:lpstr>bandwidth9</vt:lpstr>
      <vt:lpstr>Bandwidth90thP1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futureUsers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Latency10thP1</vt:lpstr>
      <vt:lpstr>Latency10thP2</vt:lpstr>
      <vt:lpstr>Latency1stP2</vt:lpstr>
      <vt:lpstr>Latency90thP1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minLastMileLatency</vt:lpstr>
      <vt:lpstr>minPublicNodeConnections</vt:lpstr>
      <vt:lpstr>missingTransactionRate</vt:lpstr>
      <vt:lpstr>ongoingResourcePercent10thP2</vt:lpstr>
      <vt:lpstr>ongoingResourcePercent6</vt:lpstr>
      <vt:lpstr>ongoingResourcePercent6p5</vt:lpstr>
      <vt:lpstr>ongoingResourcePercent7</vt:lpstr>
      <vt:lpstr>ongoingResourcePercent90thP1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privateConnections10thb</vt:lpstr>
      <vt:lpstr>privateConnections10thc</vt:lpstr>
      <vt:lpstr>privateConnections1stb</vt:lpstr>
      <vt:lpstr>privateConnections1stc</vt:lpstr>
      <vt:lpstr>privateConnections90thb</vt:lpstr>
      <vt:lpstr>privateConnections90thc</vt:lpstr>
      <vt:lpstr>privateNodePercent</vt:lpstr>
      <vt:lpstr>proximityFavoringFactor</vt:lpstr>
      <vt:lpstr>proximityFavoringFactor2</vt:lpstr>
      <vt:lpstr>publicConnections10thb</vt:lpstr>
      <vt:lpstr>publicConnections10thc</vt:lpstr>
      <vt:lpstr>publicConnections1stb</vt:lpstr>
      <vt:lpstr>publicConnections1stc</vt:lpstr>
      <vt:lpstr>publicConnections8</vt:lpstr>
      <vt:lpstr>publicConnections9</vt:lpstr>
      <vt:lpstr>publicConnections90thb</vt:lpstr>
      <vt:lpstr>publicConnections90thc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sybilPercenta</vt:lpstr>
      <vt:lpstr>sybilPercentb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targetMinerPercentHashpower2</vt:lpstr>
      <vt:lpstr>targetMinerPercentHashpowera</vt:lpstr>
      <vt:lpstr>throughput1</vt:lpstr>
      <vt:lpstr>Throughput10thP1</vt:lpstr>
      <vt:lpstr>Throughput10thP2</vt:lpstr>
      <vt:lpstr>throughput11</vt:lpstr>
      <vt:lpstr>throughput12</vt:lpstr>
      <vt:lpstr>throughput2</vt:lpstr>
      <vt:lpstr>throughput3</vt:lpstr>
      <vt:lpstr>throughput5</vt:lpstr>
      <vt:lpstr>Throughput90thP1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2019-07-01T01:38:12Z</dcterms:modified>
</cp:coreProperties>
</file>