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Bitcoin'!$E$318</definedName>
    <definedName name="avgHops19">'Current Bitcoin'!$C$358</definedName>
    <definedName name="avgHops20">'Future Bitcoin'!$I$263</definedName>
    <definedName name="avgLatencyPerHop">'Current Bitcoin'!#REF!</definedName>
    <definedName name="avgLowRelayBandwidth">'Future Bitcoin'!$J$263</definedName>
    <definedName name="avgLowRelayVerification">'Future Bitcoin'!$K$263</definedName>
    <definedName name="avgMerkleProofSizeEndGame">'Future Bitcoin'!#REF!</definedName>
    <definedName name="avgRelayBandwidth">'Current Bitcoin'!$F$318</definedName>
    <definedName name="avgRelayBandwidth20">'Future Bitcoin'!#REF!</definedName>
    <definedName name="avgRelayValidationSpeed">'Current Bitcoin'!$G$318</definedName>
    <definedName name="avgTrSize">'Current Bitcoin'!$A$15</definedName>
    <definedName name="bandwidth1">'Current Bitcoin'!$B$53</definedName>
    <definedName name="bandwidth10">'Future Bitcoin'!$B$36</definedName>
    <definedName name="Bandwidth10thP2">'Future Bitcoin'!$B$257</definedName>
    <definedName name="bandwidth13">'Future Bitcoin'!#REF!</definedName>
    <definedName name="bandwidth15">'Future Bitcoin'!$B$120</definedName>
    <definedName name="bandwidth2">'Current Bitcoin'!$B$77</definedName>
    <definedName name="bandwidth3">'Current Bitcoin'!$B$101</definedName>
    <definedName name="bandwidth4">'Future Bitcoin'!#REF!</definedName>
    <definedName name="bandwidth8">'Current Bitcoin'!$B$165</definedName>
    <definedName name="bandwidth8p9">'Current Bitcoin'!$B$189</definedName>
    <definedName name="bandwidth9">'Future Bitcoin'!$B$12</definedName>
    <definedName name="Bandwidth90thP1">'Current Bitcoin'!$B$313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Bitcoin'!$C$53</definedName>
    <definedName name="disk2">'Current Bitcoin'!$C$77</definedName>
    <definedName name="disk3">'Current Bitcoin'!$C$101</definedName>
    <definedName name="disk6">'Current Bitcoin'!$C$237</definedName>
    <definedName name="disk7">'Current Bitcoin'!$C$261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futureUsers">'Future Bitcoin'!$B$263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Bitcoin'!$F$312</definedName>
    <definedName name="Latency10thP2">'Future Bitcoin'!$F$257</definedName>
    <definedName name="Latency1stP2">'Future Bitcoin'!$F$256</definedName>
    <definedName name="Latency90thP1">'Current Bitcoin'!$F$313</definedName>
    <definedName name="latencyGrowth">'Current Bitcoin'!$F$6</definedName>
    <definedName name="lightspeedAvgLatency">'Current Bitcoin'!$F$24</definedName>
    <definedName name="maximumMinerAdvantage">'Current Bitcoin'!$C$318</definedName>
    <definedName name="maximumMinerAdvantage2">'Future Bitcoin'!$E$263</definedName>
    <definedName name="maximumMinerAdvantagea">'Current Bitcoin'!$H$358</definedName>
    <definedName name="mbToGB">'Current Bitcoin'!$D$10</definedName>
    <definedName name="memory1">'Current Bitcoin'!$D$53</definedName>
    <definedName name="memory15">'Future Bitcoin'!$D$120</definedName>
    <definedName name="memory2">'Current Bitcoin'!$D$77</definedName>
    <definedName name="memory3">'Current Bitcoin'!$D$101</definedName>
    <definedName name="memory6">'Current Bitcoin'!$D$237</definedName>
    <definedName name="memory6p5">'Current Bitcoin'!$D$286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onchainTxnRate">'Future Bitcoin'!#REF!</definedName>
    <definedName name="ongoingResourcePercent10thP2">'Future Bitcoin'!$L$257</definedName>
    <definedName name="ongoingResourcePercent6">'Current Bitcoin'!$K$237</definedName>
    <definedName name="ongoingResourcePercent6p5">'Current Bitcoin'!$K$286</definedName>
    <definedName name="ongoingResourcePercent7">'Current Bitcoin'!$K$261</definedName>
    <definedName name="ongoingResourcePercent90thP1">'Current Bitcoin'!$K$313</definedName>
    <definedName name="ongoingResourcePercentage15">'Future Bitcoin'!$L$120</definedName>
    <definedName name="ongoingResourcePercentage4">'Future Bitcoin'!#REF!</definedName>
    <definedName name="ongoingResourcePercentage5">'Current Bitcoin'!$K$213</definedName>
    <definedName name="ongoingResourcePercentage8">'Current Bitcoin'!$K$165</definedName>
    <definedName name="ongoingResourcePercentage8p9">'Current Bitcoin'!$K$189</definedName>
    <definedName name="outgoingConnections">'Current Bitcoin'!$G$165</definedName>
    <definedName name="outgoingConnections9">'Current Bitcoin'!$G$189</definedName>
    <definedName name="percentSPVNodes">'Future Bitcoin'!$C$263</definedName>
    <definedName name="privateConnections10tha">'Current Bitcoin'!#REF!</definedName>
    <definedName name="privateConnections10thb">'Current Bitcoin'!$G$312</definedName>
    <definedName name="privateConnections10thc">'Future Bitcoin'!$G$257</definedName>
    <definedName name="privateConnections1sta">'Current Bitcoin'!#REF!</definedName>
    <definedName name="privateConnections1stb">'Current Bitcoin'!$G$311</definedName>
    <definedName name="privateConnections1stc">'Future Bitcoin'!$G$256</definedName>
    <definedName name="privateConnections90tha">'Current Bitcoin'!#REF!</definedName>
    <definedName name="privateConnections90thb">'Current Bitcoin'!$G$313</definedName>
    <definedName name="privateConnections90thc">'Future Bitcoin'!$G$258</definedName>
    <definedName name="privateNodePercent">'Current Bitcoin'!$B$24</definedName>
    <definedName name="proximityFavoringFactor">'Current Bitcoin'!$H$318</definedName>
    <definedName name="proximityFavoringFactor2">'Future Bitcoin'!$F$263</definedName>
    <definedName name="publicConnections10tha">'Current Bitcoin'!#REF!</definedName>
    <definedName name="publicConnections10thb">'Current Bitcoin'!$H$312</definedName>
    <definedName name="publicConnections10thc">'Future Bitcoin'!$H$257</definedName>
    <definedName name="publicConnections1sta">'Current Bitcoin'!#REF!</definedName>
    <definedName name="publicConnections1stb">'Current Bitcoin'!$H$311</definedName>
    <definedName name="publicConnections1stc">'Future Bitcoin'!$H$256</definedName>
    <definedName name="publicConnections8">'Current Bitcoin'!$H$165</definedName>
    <definedName name="publicConnections9">'Current Bitcoin'!$H$189</definedName>
    <definedName name="publicConnections90tha">'Current Bitcoin'!#REF!</definedName>
    <definedName name="publicConnections90thb">'Current Bitcoin'!$H$313</definedName>
    <definedName name="publicConnections90thc">'Future Bitcoin'!$H$258</definedName>
    <definedName name="publicNodePercent">'Current Bitcoin'!$A$24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Bitcoin'!$J$53</definedName>
    <definedName name="resourcePercent2">'Current Bitcoin'!$J$77</definedName>
    <definedName name="resourcePercent3">'Current Bitcoin'!$J$101</definedName>
    <definedName name="secondsPerBlock">'Current Bitcoin'!$C$10</definedName>
    <definedName name="secondsPerYear">'Current Bitcoin'!$B$10</definedName>
    <definedName name="spvUserPercent">'Future Bitcoin'!#REF!</definedName>
    <definedName name="sybilPercenta">'Current Bitcoin'!$A$358</definedName>
    <definedName name="sybilPercentb">'Future Bitcoin'!$G$263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Bitcoin'!$I$53</definedName>
    <definedName name="syncTime2">'Current Bitcoin'!$I$77</definedName>
    <definedName name="syncTime3">'Current Bitcoin'!$I$101</definedName>
    <definedName name="syncTime8">'Future Bitcoin'!$I$12</definedName>
    <definedName name="targetMinerPercentHashpower">'Current Bitcoin'!$B$318</definedName>
    <definedName name="targetMinerPercentHashpower2">'Future Bitcoin'!$D$263</definedName>
    <definedName name="targetMinerPercentHashpowera">'Current Bitcoin'!$G$358</definedName>
    <definedName name="throughput1">'Current Bitcoin'!$E$53</definedName>
    <definedName name="Throughput10thP1">'Current Bitcoin'!$E$312</definedName>
    <definedName name="Throughput10thP2">'Future Bitcoin'!$E$257</definedName>
    <definedName name="throughput11">'Future Bitcoin'!$E$60</definedName>
    <definedName name="throughput12">'Future Bitcoin'!$E$84</definedName>
    <definedName name="throughput14">'Future Bitcoin'!#REF!</definedName>
    <definedName name="throughput15">'Future Bitcoin'!$E$120</definedName>
    <definedName name="throughput2">'Current Bitcoin'!$E$77</definedName>
    <definedName name="throughput3">'Current Bitcoin'!$E$101</definedName>
    <definedName name="throughput4">'Future Bitcoin'!#REF!</definedName>
    <definedName name="throughput5">'Current Bitcoin'!$E$213</definedName>
    <definedName name="Throughput90thP1">'Current Bitcoin'!$E$313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C268" i="2" l="1"/>
  <c r="C323" i="1"/>
  <c r="D323" i="1" s="1"/>
  <c r="D303" i="2"/>
  <c r="H263" i="2"/>
  <c r="I263" i="2" s="1"/>
  <c r="K263" i="2"/>
  <c r="F405" i="1" l="1"/>
  <c r="J322" i="2" l="1"/>
  <c r="J326" i="2"/>
  <c r="J327" i="2"/>
  <c r="J324" i="2"/>
  <c r="J325" i="2"/>
  <c r="J321" i="2"/>
  <c r="J323" i="2"/>
  <c r="J311" i="2"/>
  <c r="J315" i="2"/>
  <c r="J314" i="2"/>
  <c r="J313" i="2"/>
  <c r="J312" i="2"/>
  <c r="J309" i="2"/>
  <c r="J310" i="2"/>
  <c r="E326" i="2"/>
  <c r="E327" i="2"/>
  <c r="E324" i="2"/>
  <c r="E325" i="2"/>
  <c r="E321" i="2"/>
  <c r="E323" i="2"/>
  <c r="E315" i="2"/>
  <c r="E314" i="2"/>
  <c r="E313" i="2"/>
  <c r="E312" i="2"/>
  <c r="E309" i="2"/>
  <c r="E310" i="2"/>
  <c r="F125" i="2"/>
  <c r="C10" i="1" l="1"/>
  <c r="B269" i="2" l="1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68" i="2"/>
  <c r="E313" i="1"/>
  <c r="B313" i="1"/>
  <c r="C313" i="1"/>
  <c r="D313" i="1"/>
  <c r="H3" i="2"/>
  <c r="H256" i="2" s="1"/>
  <c r="H4" i="2"/>
  <c r="L256" i="2"/>
  <c r="K256" i="2"/>
  <c r="J256" i="2"/>
  <c r="I256" i="2"/>
  <c r="G256" i="2"/>
  <c r="F256" i="2"/>
  <c r="D256" i="2"/>
  <c r="C256" i="2"/>
  <c r="B256" i="2"/>
  <c r="L258" i="2"/>
  <c r="K258" i="2"/>
  <c r="J258" i="2"/>
  <c r="I258" i="2"/>
  <c r="H258" i="2"/>
  <c r="G258" i="2"/>
  <c r="F258" i="2"/>
  <c r="E258" i="2"/>
  <c r="D258" i="2"/>
  <c r="C258" i="2"/>
  <c r="B258" i="2"/>
  <c r="L257" i="2"/>
  <c r="J257" i="2"/>
  <c r="I257" i="2"/>
  <c r="G257" i="2"/>
  <c r="F257" i="2"/>
  <c r="D257" i="2"/>
  <c r="C257" i="2"/>
  <c r="B257" i="2"/>
  <c r="J263" i="2" s="1"/>
  <c r="A258" i="2"/>
  <c r="A256" i="2"/>
  <c r="F24" i="1"/>
  <c r="J14" i="1"/>
  <c r="J13" i="1"/>
  <c r="J12" i="1"/>
  <c r="G295" i="2" l="1"/>
  <c r="G296" i="2"/>
  <c r="G288" i="2"/>
  <c r="G297" i="2"/>
  <c r="G293" i="2"/>
  <c r="G294" i="2"/>
  <c r="G289" i="2"/>
  <c r="G287" i="2"/>
  <c r="G291" i="2"/>
  <c r="G292" i="2"/>
  <c r="G290" i="2"/>
  <c r="A313" i="1"/>
  <c r="F313" i="1"/>
  <c r="G313" i="1"/>
  <c r="H313" i="1"/>
  <c r="I313" i="1"/>
  <c r="J313" i="1"/>
  <c r="K313" i="1"/>
  <c r="G342" i="1" s="1"/>
  <c r="G382" i="1" l="1"/>
  <c r="G392" i="1"/>
  <c r="G388" i="1"/>
  <c r="G384" i="1"/>
  <c r="G344" i="1"/>
  <c r="G352" i="1"/>
  <c r="G345" i="1"/>
  <c r="G346" i="1"/>
  <c r="G391" i="1"/>
  <c r="G387" i="1"/>
  <c r="G347" i="1"/>
  <c r="G390" i="1"/>
  <c r="G386" i="1"/>
  <c r="G348" i="1"/>
  <c r="G349" i="1"/>
  <c r="G389" i="1"/>
  <c r="G385" i="1"/>
  <c r="G343" i="1"/>
  <c r="G351" i="1"/>
  <c r="G383" i="1"/>
  <c r="G350" i="1"/>
  <c r="G312" i="1"/>
  <c r="G31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7" i="1" l="1"/>
  <c r="F101" i="1"/>
  <c r="B312" i="1"/>
  <c r="F318" i="1" s="1"/>
  <c r="C24" i="1" l="1"/>
  <c r="K311" i="1"/>
  <c r="J311" i="1"/>
  <c r="I311" i="1"/>
  <c r="F311" i="1"/>
  <c r="E311" i="1"/>
  <c r="D311" i="1"/>
  <c r="C311" i="1"/>
  <c r="A311" i="1"/>
  <c r="B311" i="1"/>
  <c r="K312" i="1"/>
  <c r="J312" i="1"/>
  <c r="I312" i="1"/>
  <c r="F312" i="1"/>
  <c r="E312" i="1"/>
  <c r="G318" i="1" s="1"/>
  <c r="D312" i="1"/>
  <c r="C312" i="1"/>
  <c r="L120" i="2"/>
  <c r="J120" i="2"/>
  <c r="I120" i="2"/>
  <c r="G120" i="2"/>
  <c r="F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61" i="1"/>
  <c r="J261" i="1"/>
  <c r="I261" i="1"/>
  <c r="G261" i="1"/>
  <c r="F261" i="1"/>
  <c r="E261" i="1"/>
  <c r="D261" i="1"/>
  <c r="C261" i="1"/>
  <c r="B261" i="1"/>
  <c r="K189" i="1"/>
  <c r="J189" i="1"/>
  <c r="I189" i="1"/>
  <c r="G189" i="1"/>
  <c r="F189" i="1"/>
  <c r="E189" i="1"/>
  <c r="D189" i="1"/>
  <c r="C189" i="1"/>
  <c r="B189" i="1"/>
  <c r="K286" i="1"/>
  <c r="J286" i="1"/>
  <c r="I286" i="1"/>
  <c r="H286" i="1"/>
  <c r="G286" i="1"/>
  <c r="F286" i="1"/>
  <c r="E286" i="1"/>
  <c r="D286" i="1"/>
  <c r="C286" i="1"/>
  <c r="B286" i="1"/>
  <c r="K237" i="1"/>
  <c r="J237" i="1"/>
  <c r="I237" i="1"/>
  <c r="H237" i="1"/>
  <c r="G237" i="1"/>
  <c r="F237" i="1"/>
  <c r="E237" i="1"/>
  <c r="D237" i="1"/>
  <c r="C237" i="1"/>
  <c r="B237" i="1"/>
  <c r="K213" i="1"/>
  <c r="J213" i="1"/>
  <c r="I213" i="1"/>
  <c r="H213" i="1"/>
  <c r="G213" i="1"/>
  <c r="F213" i="1"/>
  <c r="E213" i="1"/>
  <c r="D213" i="1"/>
  <c r="C213" i="1"/>
  <c r="B213" i="1"/>
  <c r="K165" i="1"/>
  <c r="J165" i="1"/>
  <c r="I165" i="1"/>
  <c r="H165" i="1"/>
  <c r="G165" i="1"/>
  <c r="F165" i="1"/>
  <c r="E165" i="1"/>
  <c r="D165" i="1"/>
  <c r="C165" i="1"/>
  <c r="B165" i="1"/>
  <c r="K101" i="1"/>
  <c r="J101" i="1"/>
  <c r="I101" i="1"/>
  <c r="H101" i="1"/>
  <c r="G101" i="1"/>
  <c r="E101" i="1"/>
  <c r="D101" i="1"/>
  <c r="C101" i="1"/>
  <c r="B101" i="1"/>
  <c r="K77" i="1"/>
  <c r="J77" i="1"/>
  <c r="I77" i="1"/>
  <c r="H77" i="1"/>
  <c r="G77" i="1"/>
  <c r="E77" i="1"/>
  <c r="D77" i="1"/>
  <c r="C77" i="1"/>
  <c r="B77" i="1"/>
  <c r="K53" i="1"/>
  <c r="J53" i="1"/>
  <c r="I53" i="1"/>
  <c r="H53" i="1"/>
  <c r="G53" i="1"/>
  <c r="F53" i="1"/>
  <c r="E53" i="1"/>
  <c r="D53" i="1"/>
  <c r="C53" i="1"/>
  <c r="B53" i="1"/>
  <c r="C248" i="2" l="1"/>
  <c r="D248" i="2" s="1"/>
  <c r="B241" i="2"/>
  <c r="C237" i="2"/>
  <c r="D237" i="2" s="1"/>
  <c r="C229" i="2"/>
  <c r="D229" i="2" s="1"/>
  <c r="C225" i="2"/>
  <c r="D225" i="2" s="1"/>
  <c r="B222" i="2"/>
  <c r="C218" i="2"/>
  <c r="D218" i="2" s="1"/>
  <c r="C206" i="2"/>
  <c r="D206" i="2" s="1"/>
  <c r="C202" i="2"/>
  <c r="D202" i="2" s="1"/>
  <c r="C198" i="2"/>
  <c r="D198" i="2" s="1"/>
  <c r="B194" i="2"/>
  <c r="C194" i="2" s="1"/>
  <c r="D194" i="2" s="1"/>
  <c r="B181" i="2"/>
  <c r="B173" i="2"/>
  <c r="B160" i="2"/>
  <c r="C251" i="2"/>
  <c r="D251" i="2" s="1"/>
  <c r="B248" i="2"/>
  <c r="C244" i="2"/>
  <c r="D244" i="2" s="1"/>
  <c r="B237" i="2"/>
  <c r="B229" i="2"/>
  <c r="B225" i="2"/>
  <c r="B218" i="2"/>
  <c r="B206" i="2"/>
  <c r="B202" i="2"/>
  <c r="B198" i="2"/>
  <c r="B188" i="2"/>
  <c r="B180" i="2"/>
  <c r="C167" i="2"/>
  <c r="D167" i="2" s="1"/>
  <c r="C163" i="2"/>
  <c r="D163" i="2" s="1"/>
  <c r="C159" i="2"/>
  <c r="D159" i="2" s="1"/>
  <c r="C155" i="2"/>
  <c r="D155" i="2" s="1"/>
  <c r="B179" i="2"/>
  <c r="B163" i="2"/>
  <c r="B159" i="2"/>
  <c r="C156" i="2"/>
  <c r="D156" i="2" s="1"/>
  <c r="B251" i="2"/>
  <c r="C247" i="2"/>
  <c r="D247" i="2" s="1"/>
  <c r="B244" i="2"/>
  <c r="C240" i="2"/>
  <c r="D240" i="2" s="1"/>
  <c r="C228" i="2"/>
  <c r="D228" i="2" s="1"/>
  <c r="C224" i="2"/>
  <c r="D224" i="2" s="1"/>
  <c r="C221" i="2"/>
  <c r="D221" i="2" s="1"/>
  <c r="C217" i="2"/>
  <c r="D217" i="2" s="1"/>
  <c r="C209" i="2"/>
  <c r="D209" i="2" s="1"/>
  <c r="C205" i="2"/>
  <c r="D205" i="2" s="1"/>
  <c r="C201" i="2"/>
  <c r="D201" i="2" s="1"/>
  <c r="C197" i="2"/>
  <c r="D197" i="2" s="1"/>
  <c r="B187" i="2"/>
  <c r="B167" i="2"/>
  <c r="B155" i="2"/>
  <c r="B156" i="2"/>
  <c r="C250" i="2"/>
  <c r="D250" i="2" s="1"/>
  <c r="B247" i="2"/>
  <c r="C243" i="2"/>
  <c r="D243" i="2" s="1"/>
  <c r="B240" i="2"/>
  <c r="B228" i="2"/>
  <c r="B224" i="2"/>
  <c r="B221" i="2"/>
  <c r="B217" i="2"/>
  <c r="B209" i="2"/>
  <c r="B205" i="2"/>
  <c r="B201" i="2"/>
  <c r="B197" i="2"/>
  <c r="B186" i="2"/>
  <c r="B178" i="2"/>
  <c r="C166" i="2"/>
  <c r="D166" i="2" s="1"/>
  <c r="C162" i="2"/>
  <c r="D162" i="2" s="1"/>
  <c r="C158" i="2"/>
  <c r="D158" i="2" s="1"/>
  <c r="C154" i="2"/>
  <c r="D154" i="2" s="1"/>
  <c r="B162" i="2"/>
  <c r="B154" i="2"/>
  <c r="C161" i="2"/>
  <c r="D161" i="2" s="1"/>
  <c r="C153" i="2"/>
  <c r="D153" i="2" s="1"/>
  <c r="B245" i="2"/>
  <c r="B238" i="2"/>
  <c r="B226" i="2"/>
  <c r="B219" i="2"/>
  <c r="B250" i="2"/>
  <c r="C246" i="2"/>
  <c r="D246" i="2" s="1"/>
  <c r="B243" i="2"/>
  <c r="C239" i="2"/>
  <c r="D239" i="2" s="1"/>
  <c r="B236" i="2"/>
  <c r="C236" i="2" s="1"/>
  <c r="D236" i="2" s="1"/>
  <c r="C227" i="2"/>
  <c r="D227" i="2" s="1"/>
  <c r="C223" i="2"/>
  <c r="D223" i="2" s="1"/>
  <c r="C220" i="2"/>
  <c r="D220" i="2" s="1"/>
  <c r="C216" i="2"/>
  <c r="D216" i="2" s="1"/>
  <c r="C208" i="2"/>
  <c r="D208" i="2" s="1"/>
  <c r="C204" i="2"/>
  <c r="D204" i="2" s="1"/>
  <c r="C200" i="2"/>
  <c r="D200" i="2" s="1"/>
  <c r="C196" i="2"/>
  <c r="D196" i="2" s="1"/>
  <c r="B185" i="2"/>
  <c r="B177" i="2"/>
  <c r="B166" i="2"/>
  <c r="B158" i="2"/>
  <c r="C165" i="2"/>
  <c r="D165" i="2" s="1"/>
  <c r="C157" i="2"/>
  <c r="D157" i="2" s="1"/>
  <c r="C241" i="2"/>
  <c r="D241" i="2" s="1"/>
  <c r="C222" i="2"/>
  <c r="D222" i="2" s="1"/>
  <c r="B203" i="2"/>
  <c r="B199" i="2"/>
  <c r="B182" i="2"/>
  <c r="C160" i="2"/>
  <c r="D160" i="2" s="1"/>
  <c r="B164" i="2"/>
  <c r="C249" i="2"/>
  <c r="D249" i="2" s="1"/>
  <c r="B246" i="2"/>
  <c r="C242" i="2"/>
  <c r="D242" i="2" s="1"/>
  <c r="B239" i="2"/>
  <c r="C230" i="2"/>
  <c r="D230" i="2" s="1"/>
  <c r="B227" i="2"/>
  <c r="B223" i="2"/>
  <c r="B220" i="2"/>
  <c r="B216" i="2"/>
  <c r="B208" i="2"/>
  <c r="B204" i="2"/>
  <c r="B200" i="2"/>
  <c r="B196" i="2"/>
  <c r="B184" i="2"/>
  <c r="B176" i="2"/>
  <c r="B249" i="2"/>
  <c r="C245" i="2"/>
  <c r="D245" i="2" s="1"/>
  <c r="B242" i="2"/>
  <c r="C238" i="2"/>
  <c r="D238" i="2" s="1"/>
  <c r="B230" i="2"/>
  <c r="C226" i="2"/>
  <c r="D226" i="2" s="1"/>
  <c r="C219" i="2"/>
  <c r="D219" i="2" s="1"/>
  <c r="C215" i="2"/>
  <c r="D215" i="2" s="1"/>
  <c r="C207" i="2"/>
  <c r="D207" i="2" s="1"/>
  <c r="C203" i="2"/>
  <c r="D203" i="2" s="1"/>
  <c r="C199" i="2"/>
  <c r="D199" i="2" s="1"/>
  <c r="C195" i="2"/>
  <c r="D195" i="2" s="1"/>
  <c r="B183" i="2"/>
  <c r="B175" i="2"/>
  <c r="B165" i="2"/>
  <c r="B161" i="2"/>
  <c r="B157" i="2"/>
  <c r="B153" i="2"/>
  <c r="B215" i="2"/>
  <c r="B207" i="2"/>
  <c r="B195" i="2"/>
  <c r="B174" i="2"/>
  <c r="C164" i="2"/>
  <c r="D164" i="2" s="1"/>
  <c r="B152" i="2"/>
  <c r="C152" i="2" s="1"/>
  <c r="D152" i="2" s="1"/>
  <c r="B133" i="2"/>
  <c r="B141" i="2"/>
  <c r="C145" i="2"/>
  <c r="D145" i="2" s="1"/>
  <c r="C137" i="2"/>
  <c r="D137" i="2" s="1"/>
  <c r="B135" i="2"/>
  <c r="C135" i="2"/>
  <c r="D135" i="2" s="1"/>
  <c r="B136" i="2"/>
  <c r="C142" i="2"/>
  <c r="D142" i="2" s="1"/>
  <c r="C138" i="2"/>
  <c r="D138" i="2" s="1"/>
  <c r="B134" i="2"/>
  <c r="B142" i="2"/>
  <c r="C144" i="2"/>
  <c r="D144" i="2" s="1"/>
  <c r="C136" i="2"/>
  <c r="D136" i="2" s="1"/>
  <c r="B143" i="2"/>
  <c r="C143" i="2"/>
  <c r="D143" i="2" s="1"/>
  <c r="B144" i="2"/>
  <c r="C134" i="2"/>
  <c r="D134" i="2" s="1"/>
  <c r="B137" i="2"/>
  <c r="B145" i="2"/>
  <c r="C141" i="2"/>
  <c r="D141" i="2" s="1"/>
  <c r="C133" i="2"/>
  <c r="D133" i="2" s="1"/>
  <c r="B139" i="2"/>
  <c r="C139" i="2"/>
  <c r="D139" i="2" s="1"/>
  <c r="B140" i="2"/>
  <c r="B138" i="2"/>
  <c r="B146" i="2"/>
  <c r="C140" i="2"/>
  <c r="D140" i="2" s="1"/>
  <c r="C132" i="2"/>
  <c r="D132" i="2" s="1"/>
  <c r="B131" i="2"/>
  <c r="C131" i="2" s="1"/>
  <c r="D131" i="2" s="1"/>
  <c r="B132" i="2"/>
  <c r="C146" i="2"/>
  <c r="D146" i="2" s="1"/>
  <c r="K4" i="2" l="1"/>
  <c r="K257" i="2" s="1"/>
  <c r="K120" i="2" l="1"/>
  <c r="D399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D291" i="1"/>
  <c r="B291" i="1"/>
  <c r="C33" i="1"/>
  <c r="C173" i="2"/>
  <c r="D173" i="2" s="1"/>
  <c r="C174" i="2" l="1"/>
  <c r="D174" i="2" s="1"/>
  <c r="C175" i="2"/>
  <c r="D175" i="2" s="1"/>
  <c r="C176" i="2"/>
  <c r="D176" i="2" s="1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C186" i="2"/>
  <c r="D186" i="2" s="1"/>
  <c r="C187" i="2"/>
  <c r="D187" i="2" s="1"/>
  <c r="C188" i="2"/>
  <c r="D188" i="2" s="1"/>
  <c r="A125" i="2"/>
  <c r="D185" i="2" l="1"/>
  <c r="D177" i="2"/>
  <c r="C194" i="1" l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93" i="1"/>
  <c r="C16" i="2"/>
  <c r="H257" i="2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9" i="1"/>
  <c r="B217" i="1"/>
  <c r="E402" i="1" s="1"/>
  <c r="D403" i="1"/>
  <c r="D400" i="1"/>
  <c r="D396" i="1"/>
  <c r="D397" i="1"/>
  <c r="H4" i="1"/>
  <c r="D401" i="1"/>
  <c r="D402" i="1"/>
  <c r="D398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41" i="1"/>
  <c r="H403" i="1" s="1"/>
  <c r="B265" i="1"/>
  <c r="B266" i="1" s="1"/>
  <c r="C266" i="1" s="1"/>
  <c r="C241" i="1"/>
  <c r="G400" i="1"/>
  <c r="E400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D268" i="2" l="1"/>
  <c r="E268" i="2"/>
  <c r="C281" i="2"/>
  <c r="C269" i="2"/>
  <c r="C273" i="2"/>
  <c r="C277" i="2"/>
  <c r="C282" i="2"/>
  <c r="C271" i="2"/>
  <c r="C280" i="2"/>
  <c r="C278" i="2"/>
  <c r="C272" i="2"/>
  <c r="C279" i="2"/>
  <c r="C276" i="2"/>
  <c r="C283" i="2"/>
  <c r="C275" i="2"/>
  <c r="C274" i="2"/>
  <c r="C270" i="2"/>
  <c r="H120" i="2"/>
  <c r="H312" i="1"/>
  <c r="D318" i="1" s="1"/>
  <c r="E318" i="1" s="1"/>
  <c r="C342" i="1" s="1"/>
  <c r="H261" i="1"/>
  <c r="H189" i="1"/>
  <c r="B194" i="1" s="1"/>
  <c r="H3" i="1"/>
  <c r="C265" i="1"/>
  <c r="D15" i="1"/>
  <c r="D275" i="2" l="1"/>
  <c r="E275" i="2"/>
  <c r="E282" i="2"/>
  <c r="D282" i="2"/>
  <c r="E283" i="2"/>
  <c r="D283" i="2"/>
  <c r="E277" i="2"/>
  <c r="D277" i="2"/>
  <c r="E271" i="2"/>
  <c r="D271" i="2"/>
  <c r="D276" i="2"/>
  <c r="E276" i="2"/>
  <c r="D273" i="2"/>
  <c r="E273" i="2"/>
  <c r="D279" i="2"/>
  <c r="E279" i="2"/>
  <c r="D269" i="2"/>
  <c r="E269" i="2"/>
  <c r="D272" i="2"/>
  <c r="E272" i="2"/>
  <c r="D281" i="2"/>
  <c r="E281" i="2"/>
  <c r="E278" i="2"/>
  <c r="D278" i="2"/>
  <c r="E274" i="2"/>
  <c r="D274" i="2"/>
  <c r="E270" i="2"/>
  <c r="D270" i="2"/>
  <c r="D280" i="2"/>
  <c r="E280" i="2"/>
  <c r="C345" i="1"/>
  <c r="C351" i="1"/>
  <c r="C329" i="1"/>
  <c r="C333" i="1"/>
  <c r="C352" i="1"/>
  <c r="C328" i="1"/>
  <c r="C325" i="1"/>
  <c r="C350" i="1"/>
  <c r="C335" i="1"/>
  <c r="C324" i="1"/>
  <c r="C338" i="1"/>
  <c r="C346" i="1"/>
  <c r="C343" i="1"/>
  <c r="C327" i="1"/>
  <c r="C347" i="1"/>
  <c r="C331" i="1"/>
  <c r="C336" i="1"/>
  <c r="C348" i="1"/>
  <c r="C344" i="1"/>
  <c r="C330" i="1"/>
  <c r="C326" i="1"/>
  <c r="C334" i="1"/>
  <c r="C349" i="1"/>
  <c r="C337" i="1"/>
  <c r="C332" i="1"/>
  <c r="B358" i="1"/>
  <c r="C358" i="1" s="1"/>
  <c r="H311" i="1"/>
  <c r="B198" i="1"/>
  <c r="B200" i="1"/>
  <c r="B195" i="1"/>
  <c r="B193" i="1"/>
  <c r="B202" i="1"/>
  <c r="B204" i="1"/>
  <c r="B206" i="1"/>
  <c r="B208" i="1"/>
  <c r="B199" i="1"/>
  <c r="B205" i="1"/>
  <c r="B203" i="1"/>
  <c r="B197" i="1"/>
  <c r="B207" i="1"/>
  <c r="B201" i="1"/>
  <c r="B196" i="1"/>
  <c r="C294" i="1"/>
  <c r="C291" i="1"/>
  <c r="H399" i="1" s="1"/>
  <c r="D266" i="1"/>
  <c r="B267" i="1" s="1"/>
  <c r="C267" i="1" s="1"/>
  <c r="G398" i="1"/>
  <c r="C292" i="1"/>
  <c r="E291" i="1"/>
  <c r="C295" i="1"/>
  <c r="C299" i="1"/>
  <c r="C306" i="1"/>
  <c r="C298" i="1"/>
  <c r="C302" i="1"/>
  <c r="C301" i="1"/>
  <c r="C305" i="1"/>
  <c r="C297" i="1"/>
  <c r="C304" i="1"/>
  <c r="C296" i="1"/>
  <c r="C303" i="1"/>
  <c r="C293" i="1"/>
  <c r="C300" i="1"/>
  <c r="C15" i="1"/>
  <c r="E10" i="1"/>
  <c r="D10" i="1"/>
  <c r="B10" i="1"/>
  <c r="B64" i="2" s="1"/>
  <c r="C64" i="2" l="1"/>
  <c r="E185" i="2"/>
  <c r="E177" i="2"/>
  <c r="E184" i="2"/>
  <c r="E176" i="2"/>
  <c r="E178" i="2"/>
  <c r="E183" i="2"/>
  <c r="E175" i="2"/>
  <c r="E187" i="2"/>
  <c r="E182" i="2"/>
  <c r="E174" i="2"/>
  <c r="F173" i="2"/>
  <c r="E181" i="2"/>
  <c r="E173" i="2"/>
  <c r="E188" i="2"/>
  <c r="E180" i="2"/>
  <c r="E179" i="2"/>
  <c r="E186" i="2"/>
  <c r="J342" i="1"/>
  <c r="J295" i="2"/>
  <c r="E219" i="2"/>
  <c r="E223" i="2"/>
  <c r="E222" i="2"/>
  <c r="J294" i="2"/>
  <c r="J290" i="2"/>
  <c r="E216" i="2"/>
  <c r="E227" i="2"/>
  <c r="E215" i="2"/>
  <c r="E221" i="2"/>
  <c r="J287" i="2"/>
  <c r="J296" i="2"/>
  <c r="E224" i="2"/>
  <c r="E220" i="2"/>
  <c r="J289" i="2"/>
  <c r="J292" i="2"/>
  <c r="E217" i="2"/>
  <c r="E228" i="2"/>
  <c r="J288" i="2"/>
  <c r="E225" i="2"/>
  <c r="J297" i="2"/>
  <c r="E229" i="2"/>
  <c r="E218" i="2"/>
  <c r="J293" i="2"/>
  <c r="E226" i="2"/>
  <c r="E230" i="2"/>
  <c r="J291" i="2"/>
  <c r="E140" i="2"/>
  <c r="F140" i="2" s="1"/>
  <c r="E144" i="2"/>
  <c r="F144" i="2" s="1"/>
  <c r="E142" i="2"/>
  <c r="F142" i="2" s="1"/>
  <c r="E133" i="2"/>
  <c r="F133" i="2" s="1"/>
  <c r="E134" i="2"/>
  <c r="F134" i="2" s="1"/>
  <c r="E131" i="2"/>
  <c r="F131" i="2" s="1"/>
  <c r="G131" i="2" s="1"/>
  <c r="E137" i="2"/>
  <c r="F137" i="2" s="1"/>
  <c r="E135" i="2"/>
  <c r="F135" i="2" s="1"/>
  <c r="E136" i="2"/>
  <c r="F136" i="2" s="1"/>
  <c r="E141" i="2"/>
  <c r="F141" i="2" s="1"/>
  <c r="E143" i="2"/>
  <c r="F143" i="2" s="1"/>
  <c r="E145" i="2"/>
  <c r="F145" i="2" s="1"/>
  <c r="E138" i="2"/>
  <c r="F138" i="2" s="1"/>
  <c r="E146" i="2"/>
  <c r="F146" i="2" s="1"/>
  <c r="E139" i="2"/>
  <c r="F139" i="2" s="1"/>
  <c r="E132" i="2"/>
  <c r="F132" i="2" s="1"/>
  <c r="C295" i="2"/>
  <c r="C387" i="1"/>
  <c r="C296" i="2"/>
  <c r="C290" i="2"/>
  <c r="C287" i="2"/>
  <c r="C390" i="1"/>
  <c r="C383" i="1"/>
  <c r="C391" i="1"/>
  <c r="C384" i="1"/>
  <c r="C392" i="1"/>
  <c r="C293" i="2"/>
  <c r="C385" i="1"/>
  <c r="C382" i="1"/>
  <c r="C294" i="2"/>
  <c r="C288" i="2"/>
  <c r="C291" i="2"/>
  <c r="C386" i="1"/>
  <c r="C388" i="1"/>
  <c r="C289" i="2"/>
  <c r="C292" i="2"/>
  <c r="C389" i="1"/>
  <c r="C297" i="2"/>
  <c r="C365" i="1"/>
  <c r="C373" i="1"/>
  <c r="C366" i="1"/>
  <c r="C374" i="1"/>
  <c r="C367" i="1"/>
  <c r="C375" i="1"/>
  <c r="C368" i="1"/>
  <c r="C376" i="1"/>
  <c r="C369" i="1"/>
  <c r="C377" i="1"/>
  <c r="C370" i="1"/>
  <c r="C378" i="1"/>
  <c r="C371" i="1"/>
  <c r="C363" i="1"/>
  <c r="C364" i="1"/>
  <c r="C372" i="1"/>
  <c r="J391" i="1"/>
  <c r="J384" i="1"/>
  <c r="J344" i="1"/>
  <c r="J390" i="1"/>
  <c r="J349" i="1"/>
  <c r="J352" i="1"/>
  <c r="J386" i="1"/>
  <c r="J346" i="1"/>
  <c r="J345" i="1"/>
  <c r="J382" i="1"/>
  <c r="J350" i="1"/>
  <c r="J389" i="1"/>
  <c r="J347" i="1"/>
  <c r="J387" i="1"/>
  <c r="J348" i="1"/>
  <c r="J388" i="1"/>
  <c r="J385" i="1"/>
  <c r="J343" i="1"/>
  <c r="J392" i="1"/>
  <c r="J383" i="1"/>
  <c r="J351" i="1"/>
  <c r="B374" i="1"/>
  <c r="B366" i="1"/>
  <c r="B372" i="1"/>
  <c r="B365" i="1"/>
  <c r="B364" i="1"/>
  <c r="B371" i="1"/>
  <c r="B378" i="1"/>
  <c r="B370" i="1"/>
  <c r="B377" i="1"/>
  <c r="B369" i="1"/>
  <c r="B363" i="1"/>
  <c r="B376" i="1"/>
  <c r="B368" i="1"/>
  <c r="B375" i="1"/>
  <c r="B367" i="1"/>
  <c r="B373" i="1"/>
  <c r="B17" i="2"/>
  <c r="B324" i="1"/>
  <c r="B323" i="1"/>
  <c r="B331" i="1"/>
  <c r="B332" i="1"/>
  <c r="B336" i="1"/>
  <c r="B337" i="1"/>
  <c r="B325" i="1"/>
  <c r="B333" i="1"/>
  <c r="B326" i="1"/>
  <c r="B334" i="1"/>
  <c r="B335" i="1"/>
  <c r="B330" i="1"/>
  <c r="B327" i="1"/>
  <c r="B328" i="1"/>
  <c r="B329" i="1"/>
  <c r="B338" i="1"/>
  <c r="B27" i="2"/>
  <c r="B19" i="2"/>
  <c r="B26" i="2"/>
  <c r="B25" i="2"/>
  <c r="B40" i="2"/>
  <c r="B24" i="2"/>
  <c r="B16" i="2"/>
  <c r="D16" i="2" s="1"/>
  <c r="E16" i="2" s="1"/>
  <c r="B31" i="2"/>
  <c r="B23" i="2"/>
  <c r="B20" i="2"/>
  <c r="C40" i="2"/>
  <c r="B30" i="2"/>
  <c r="B22" i="2"/>
  <c r="B28" i="2"/>
  <c r="B29" i="2"/>
  <c r="B21" i="2"/>
  <c r="B18" i="2"/>
  <c r="D292" i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194" i="1"/>
  <c r="E194" i="1" s="1"/>
  <c r="D202" i="1"/>
  <c r="E202" i="1" s="1"/>
  <c r="D169" i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206" i="1"/>
  <c r="E206" i="1" s="1"/>
  <c r="D173" i="1"/>
  <c r="E173" i="1" s="1"/>
  <c r="D181" i="1"/>
  <c r="E181" i="1" s="1"/>
  <c r="D199" i="1"/>
  <c r="E199" i="1" s="1"/>
  <c r="D207" i="1"/>
  <c r="E207" i="1" s="1"/>
  <c r="D174" i="1"/>
  <c r="E174" i="1" s="1"/>
  <c r="D182" i="1"/>
  <c r="E182" i="1" s="1"/>
  <c r="D200" i="1"/>
  <c r="E200" i="1" s="1"/>
  <c r="D208" i="1"/>
  <c r="E208" i="1" s="1"/>
  <c r="D175" i="1"/>
  <c r="E175" i="1" s="1"/>
  <c r="D183" i="1"/>
  <c r="E183" i="1" s="1"/>
  <c r="D201" i="1"/>
  <c r="E201" i="1" s="1"/>
  <c r="D193" i="1"/>
  <c r="E405" i="1" s="1"/>
  <c r="D176" i="1"/>
  <c r="E176" i="1" s="1"/>
  <c r="D184" i="1"/>
  <c r="E184" i="1" s="1"/>
  <c r="B41" i="1"/>
  <c r="B33" i="1"/>
  <c r="B34" i="1"/>
  <c r="B42" i="1"/>
  <c r="B35" i="1"/>
  <c r="B43" i="1"/>
  <c r="B36" i="1"/>
  <c r="B44" i="1"/>
  <c r="B37" i="1"/>
  <c r="B45" i="1"/>
  <c r="B38" i="1"/>
  <c r="B46" i="1"/>
  <c r="B39" i="1"/>
  <c r="B47" i="1"/>
  <c r="B40" i="1"/>
  <c r="B48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42" i="1"/>
  <c r="C243" i="1" s="1"/>
  <c r="F177" i="2"/>
  <c r="F185" i="2"/>
  <c r="F178" i="2"/>
  <c r="F186" i="2"/>
  <c r="F179" i="2"/>
  <c r="F187" i="2"/>
  <c r="F180" i="2"/>
  <c r="F188" i="2"/>
  <c r="F181" i="2"/>
  <c r="F176" i="2"/>
  <c r="F174" i="2"/>
  <c r="F182" i="2"/>
  <c r="F175" i="2"/>
  <c r="F183" i="2"/>
  <c r="G325" i="2" s="1"/>
  <c r="F184" i="2"/>
  <c r="C90" i="2"/>
  <c r="E90" i="2" s="1"/>
  <c r="F90" i="2" s="1"/>
  <c r="C98" i="2"/>
  <c r="E98" i="2" s="1"/>
  <c r="B89" i="2"/>
  <c r="B97" i="2"/>
  <c r="B67" i="2"/>
  <c r="B75" i="2"/>
  <c r="B88" i="2"/>
  <c r="C91" i="2"/>
  <c r="E91" i="2" s="1"/>
  <c r="F91" i="2" s="1"/>
  <c r="C99" i="2"/>
  <c r="E99" i="2" s="1"/>
  <c r="F99" i="2" s="1"/>
  <c r="B90" i="2"/>
  <c r="B98" i="2"/>
  <c r="B68" i="2"/>
  <c r="B76" i="2"/>
  <c r="B74" i="2"/>
  <c r="C92" i="2"/>
  <c r="E92" i="2" s="1"/>
  <c r="F92" i="2" s="1"/>
  <c r="C100" i="2"/>
  <c r="E100" i="2" s="1"/>
  <c r="F100" i="2" s="1"/>
  <c r="B91" i="2"/>
  <c r="B99" i="2"/>
  <c r="B69" i="2"/>
  <c r="B77" i="2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B78" i="2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B79" i="2"/>
  <c r="B66" i="2"/>
  <c r="C95" i="2"/>
  <c r="E95" i="2" s="1"/>
  <c r="F95" i="2" s="1"/>
  <c r="C103" i="2"/>
  <c r="E103" i="2" s="1"/>
  <c r="B94" i="2"/>
  <c r="B102" i="2"/>
  <c r="B72" i="2"/>
  <c r="B96" i="2"/>
  <c r="C96" i="2"/>
  <c r="E96" i="2" s="1"/>
  <c r="F96" i="2" s="1"/>
  <c r="C88" i="2"/>
  <c r="E88" i="2" s="1"/>
  <c r="B95" i="2"/>
  <c r="B103" i="2"/>
  <c r="B65" i="2"/>
  <c r="C65" i="2" s="1"/>
  <c r="D65" i="2" s="1"/>
  <c r="B73" i="2"/>
  <c r="C17" i="2"/>
  <c r="C42" i="2"/>
  <c r="C50" i="2"/>
  <c r="B42" i="2"/>
  <c r="B50" i="2"/>
  <c r="B57" i="1"/>
  <c r="G397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8" i="1"/>
  <c r="D58" i="1" s="1"/>
  <c r="E58" i="1" s="1"/>
  <c r="C46" i="2"/>
  <c r="C54" i="2"/>
  <c r="B46" i="2"/>
  <c r="B54" i="2"/>
  <c r="C47" i="2"/>
  <c r="C55" i="2"/>
  <c r="B47" i="2"/>
  <c r="B55" i="2"/>
  <c r="B49" i="2"/>
  <c r="C48" i="2"/>
  <c r="B48" i="2"/>
  <c r="C57" i="1"/>
  <c r="D57" i="1" s="1"/>
  <c r="C49" i="2"/>
  <c r="E266" i="1"/>
  <c r="F266" i="1" s="1"/>
  <c r="D267" i="1"/>
  <c r="E267" i="1" s="1"/>
  <c r="F267" i="1" s="1"/>
  <c r="B59" i="1"/>
  <c r="C228" i="1"/>
  <c r="C220" i="1"/>
  <c r="C231" i="1"/>
  <c r="C232" i="1"/>
  <c r="C223" i="1"/>
  <c r="C227" i="1"/>
  <c r="C230" i="1"/>
  <c r="C219" i="1"/>
  <c r="C222" i="1"/>
  <c r="C226" i="1"/>
  <c r="C225" i="1"/>
  <c r="C229" i="1"/>
  <c r="C218" i="1"/>
  <c r="C224" i="1"/>
  <c r="C221" i="1"/>
  <c r="C217" i="1"/>
  <c r="F402" i="1" s="1"/>
  <c r="E141" i="1"/>
  <c r="C83" i="1"/>
  <c r="E83" i="1" s="1"/>
  <c r="D83" i="1" s="1"/>
  <c r="E121" i="1"/>
  <c r="E113" i="1"/>
  <c r="E126" i="1"/>
  <c r="E134" i="1"/>
  <c r="E112" i="1"/>
  <c r="E135" i="1"/>
  <c r="E119" i="1"/>
  <c r="E111" i="1"/>
  <c r="E128" i="1"/>
  <c r="E136" i="1"/>
  <c r="E118" i="1"/>
  <c r="E110" i="1"/>
  <c r="E129" i="1"/>
  <c r="E137" i="1"/>
  <c r="E120" i="1"/>
  <c r="E127" i="1"/>
  <c r="E117" i="1"/>
  <c r="E109" i="1"/>
  <c r="E130" i="1"/>
  <c r="E138" i="1"/>
  <c r="E116" i="1"/>
  <c r="E131" i="1"/>
  <c r="E139" i="1"/>
  <c r="E115" i="1"/>
  <c r="E107" i="1"/>
  <c r="E132" i="1"/>
  <c r="E140" i="1"/>
  <c r="E108" i="1"/>
  <c r="E114" i="1"/>
  <c r="E106" i="1"/>
  <c r="F400" i="1" s="1"/>
  <c r="E133" i="1"/>
  <c r="D111" i="1"/>
  <c r="F111" i="1" s="1"/>
  <c r="D120" i="1"/>
  <c r="F120" i="1" s="1"/>
  <c r="D121" i="1"/>
  <c r="F121" i="1" s="1"/>
  <c r="D113" i="1"/>
  <c r="F113" i="1" s="1"/>
  <c r="D112" i="1"/>
  <c r="F112" i="1" s="1"/>
  <c r="D119" i="1"/>
  <c r="F119" i="1" s="1"/>
  <c r="D118" i="1"/>
  <c r="F118" i="1" s="1"/>
  <c r="D110" i="1"/>
  <c r="F110" i="1" s="1"/>
  <c r="D117" i="1"/>
  <c r="F117" i="1" s="1"/>
  <c r="D109" i="1"/>
  <c r="F109" i="1" s="1"/>
  <c r="D116" i="1"/>
  <c r="F116" i="1" s="1"/>
  <c r="D108" i="1"/>
  <c r="F108" i="1" s="1"/>
  <c r="D115" i="1"/>
  <c r="F115" i="1" s="1"/>
  <c r="D107" i="1"/>
  <c r="F107" i="1" s="1"/>
  <c r="D114" i="1"/>
  <c r="F114" i="1" s="1"/>
  <c r="D106" i="1"/>
  <c r="F106" i="1" s="1"/>
  <c r="D128" i="1"/>
  <c r="F128" i="1" s="1"/>
  <c r="D130" i="1"/>
  <c r="F130" i="1" s="1"/>
  <c r="D129" i="1"/>
  <c r="F129" i="1" s="1"/>
  <c r="D126" i="1"/>
  <c r="D127" i="1"/>
  <c r="B91" i="1"/>
  <c r="B89" i="1"/>
  <c r="C84" i="1"/>
  <c r="B83" i="1"/>
  <c r="C87" i="1"/>
  <c r="B81" i="1"/>
  <c r="G396" i="1" s="1"/>
  <c r="C95" i="1"/>
  <c r="C92" i="1"/>
  <c r="B94" i="1"/>
  <c r="C90" i="1"/>
  <c r="B86" i="1"/>
  <c r="C82" i="1"/>
  <c r="B88" i="1"/>
  <c r="B96" i="1"/>
  <c r="C81" i="1"/>
  <c r="C89" i="1"/>
  <c r="B95" i="1"/>
  <c r="B87" i="1"/>
  <c r="C96" i="1"/>
  <c r="C88" i="1"/>
  <c r="B93" i="1"/>
  <c r="B85" i="1"/>
  <c r="C94" i="1"/>
  <c r="C86" i="1"/>
  <c r="B64" i="1"/>
  <c r="B92" i="1"/>
  <c r="B84" i="1"/>
  <c r="C93" i="1"/>
  <c r="C85" i="1"/>
  <c r="B90" i="1"/>
  <c r="B82" i="1"/>
  <c r="C91" i="1"/>
  <c r="C72" i="1"/>
  <c r="D72" i="1" s="1"/>
  <c r="E72" i="1" s="1"/>
  <c r="B71" i="1"/>
  <c r="B63" i="1"/>
  <c r="C71" i="1"/>
  <c r="D71" i="1" s="1"/>
  <c r="E71" i="1" s="1"/>
  <c r="C63" i="1"/>
  <c r="D63" i="1" s="1"/>
  <c r="E63" i="1" s="1"/>
  <c r="B70" i="1"/>
  <c r="B62" i="1"/>
  <c r="C70" i="1"/>
  <c r="D70" i="1" s="1"/>
  <c r="E70" i="1" s="1"/>
  <c r="C62" i="1"/>
  <c r="D62" i="1" s="1"/>
  <c r="E62" i="1" s="1"/>
  <c r="B61" i="1"/>
  <c r="B72" i="1"/>
  <c r="C64" i="1"/>
  <c r="D64" i="1" s="1"/>
  <c r="E64" i="1" s="1"/>
  <c r="B69" i="1"/>
  <c r="C69" i="1"/>
  <c r="D69" i="1" s="1"/>
  <c r="E69" i="1" s="1"/>
  <c r="C61" i="1"/>
  <c r="D61" i="1" s="1"/>
  <c r="E61" i="1" s="1"/>
  <c r="B68" i="1"/>
  <c r="B60" i="1"/>
  <c r="C68" i="1"/>
  <c r="D68" i="1" s="1"/>
  <c r="E68" i="1" s="1"/>
  <c r="C60" i="1"/>
  <c r="D60" i="1" s="1"/>
  <c r="E60" i="1" s="1"/>
  <c r="C65" i="1"/>
  <c r="D65" i="1" s="1"/>
  <c r="E65" i="1" s="1"/>
  <c r="B67" i="1"/>
  <c r="C67" i="1"/>
  <c r="D67" i="1" s="1"/>
  <c r="E67" i="1" s="1"/>
  <c r="C59" i="1"/>
  <c r="D59" i="1" s="1"/>
  <c r="E59" i="1" s="1"/>
  <c r="B66" i="1"/>
  <c r="B58" i="1"/>
  <c r="C66" i="1"/>
  <c r="D66" i="1" s="1"/>
  <c r="E66" i="1" s="1"/>
  <c r="B65" i="1"/>
  <c r="G327" i="2" l="1"/>
  <c r="G225" i="2"/>
  <c r="F327" i="2" s="1"/>
  <c r="F225" i="2"/>
  <c r="H327" i="2" s="1"/>
  <c r="G222" i="2"/>
  <c r="F222" i="2"/>
  <c r="G223" i="2"/>
  <c r="F223" i="2"/>
  <c r="E111" i="2"/>
  <c r="D64" i="2"/>
  <c r="F111" i="2" s="1"/>
  <c r="G230" i="2"/>
  <c r="F230" i="2"/>
  <c r="G228" i="2"/>
  <c r="F228" i="2"/>
  <c r="G221" i="2"/>
  <c r="F221" i="2"/>
  <c r="G219" i="2"/>
  <c r="F219" i="2"/>
  <c r="G310" i="2"/>
  <c r="I131" i="2"/>
  <c r="F310" i="2" s="1"/>
  <c r="H131" i="2"/>
  <c r="H310" i="2" s="1"/>
  <c r="G226" i="2"/>
  <c r="F226" i="2"/>
  <c r="G217" i="2"/>
  <c r="F217" i="2"/>
  <c r="G314" i="2"/>
  <c r="G215" i="2"/>
  <c r="F314" i="2" s="1"/>
  <c r="F215" i="2"/>
  <c r="H314" i="2" s="1"/>
  <c r="G312" i="2"/>
  <c r="H173" i="2"/>
  <c r="F312" i="2" s="1"/>
  <c r="G173" i="2"/>
  <c r="H312" i="2" s="1"/>
  <c r="G227" i="2"/>
  <c r="F227" i="2"/>
  <c r="G218" i="2"/>
  <c r="F218" i="2"/>
  <c r="G216" i="2"/>
  <c r="F216" i="2"/>
  <c r="G229" i="2"/>
  <c r="F229" i="2"/>
  <c r="G220" i="2"/>
  <c r="F220" i="2"/>
  <c r="G224" i="2"/>
  <c r="F224" i="2"/>
  <c r="D326" i="1"/>
  <c r="E326" i="1"/>
  <c r="D324" i="1"/>
  <c r="E324" i="1"/>
  <c r="D369" i="1"/>
  <c r="E369" i="1"/>
  <c r="D366" i="1"/>
  <c r="E366" i="1"/>
  <c r="D338" i="1"/>
  <c r="E338" i="1"/>
  <c r="E333" i="1"/>
  <c r="D333" i="1"/>
  <c r="D377" i="1"/>
  <c r="E377" i="1"/>
  <c r="D374" i="1"/>
  <c r="E374" i="1"/>
  <c r="E329" i="1"/>
  <c r="D329" i="1"/>
  <c r="E325" i="1"/>
  <c r="D325" i="1"/>
  <c r="D373" i="1"/>
  <c r="E373" i="1"/>
  <c r="E370" i="1"/>
  <c r="D370" i="1"/>
  <c r="D328" i="1"/>
  <c r="E328" i="1"/>
  <c r="E337" i="1"/>
  <c r="D337" i="1"/>
  <c r="D367" i="1"/>
  <c r="E367" i="1"/>
  <c r="D378" i="1"/>
  <c r="E378" i="1"/>
  <c r="D327" i="1"/>
  <c r="E327" i="1"/>
  <c r="D336" i="1"/>
  <c r="E336" i="1"/>
  <c r="D375" i="1"/>
  <c r="E375" i="1"/>
  <c r="D371" i="1"/>
  <c r="E371" i="1"/>
  <c r="D330" i="1"/>
  <c r="E330" i="1"/>
  <c r="D332" i="1"/>
  <c r="E332" i="1"/>
  <c r="D368" i="1"/>
  <c r="E368" i="1"/>
  <c r="D364" i="1"/>
  <c r="E364" i="1"/>
  <c r="D335" i="1"/>
  <c r="E335" i="1"/>
  <c r="D331" i="1"/>
  <c r="E331" i="1"/>
  <c r="D376" i="1"/>
  <c r="E376" i="1"/>
  <c r="D365" i="1"/>
  <c r="E365" i="1"/>
  <c r="D334" i="1"/>
  <c r="E334" i="1"/>
  <c r="E323" i="1"/>
  <c r="E363" i="1"/>
  <c r="D363" i="1"/>
  <c r="D372" i="1"/>
  <c r="E372" i="1"/>
  <c r="H175" i="2"/>
  <c r="G175" i="2"/>
  <c r="H182" i="2"/>
  <c r="G182" i="2"/>
  <c r="H186" i="2"/>
  <c r="G186" i="2"/>
  <c r="H179" i="2"/>
  <c r="G179" i="2"/>
  <c r="H174" i="2"/>
  <c r="G174" i="2"/>
  <c r="H178" i="2"/>
  <c r="G178" i="2"/>
  <c r="H176" i="2"/>
  <c r="G176" i="2"/>
  <c r="H185" i="2"/>
  <c r="G185" i="2"/>
  <c r="H181" i="2"/>
  <c r="G181" i="2"/>
  <c r="H177" i="2"/>
  <c r="G177" i="2"/>
  <c r="H188" i="2"/>
  <c r="G188" i="2"/>
  <c r="H184" i="2"/>
  <c r="G184" i="2"/>
  <c r="H180" i="2"/>
  <c r="G180" i="2"/>
  <c r="H183" i="2"/>
  <c r="F325" i="2" s="1"/>
  <c r="G183" i="2"/>
  <c r="H325" i="2" s="1"/>
  <c r="H187" i="2"/>
  <c r="G187" i="2"/>
  <c r="C77" i="2"/>
  <c r="D77" i="2" s="1"/>
  <c r="C68" i="2"/>
  <c r="D68" i="2" s="1"/>
  <c r="C66" i="2"/>
  <c r="D66" i="2" s="1"/>
  <c r="C78" i="2"/>
  <c r="D78" i="2" s="1"/>
  <c r="C69" i="2"/>
  <c r="D69" i="2" s="1"/>
  <c r="C79" i="2"/>
  <c r="D79" i="2" s="1"/>
  <c r="C70" i="2"/>
  <c r="D70" i="2" s="1"/>
  <c r="C71" i="2"/>
  <c r="D71" i="2" s="1"/>
  <c r="C76" i="2"/>
  <c r="D76" i="2" s="1"/>
  <c r="C72" i="2"/>
  <c r="D72" i="2" s="1"/>
  <c r="C73" i="2"/>
  <c r="D73" i="2" s="1"/>
  <c r="C67" i="2"/>
  <c r="D67" i="2" s="1"/>
  <c r="C74" i="2"/>
  <c r="D74" i="2" s="1"/>
  <c r="C75" i="2"/>
  <c r="D75" i="2" s="1"/>
  <c r="G140" i="2"/>
  <c r="D17" i="2"/>
  <c r="E17" i="2" s="1"/>
  <c r="F17" i="2" s="1"/>
  <c r="G138" i="2"/>
  <c r="G139" i="2"/>
  <c r="G136" i="2"/>
  <c r="G134" i="2"/>
  <c r="G135" i="2"/>
  <c r="G133" i="2"/>
  <c r="G137" i="2"/>
  <c r="D40" i="2"/>
  <c r="G110" i="2" s="1"/>
  <c r="G132" i="2"/>
  <c r="D103" i="2"/>
  <c r="F103" i="2"/>
  <c r="E193" i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E169" i="1"/>
  <c r="F401" i="1" s="1"/>
  <c r="E401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C18" i="2"/>
  <c r="D18" i="2" s="1"/>
  <c r="D96" i="2"/>
  <c r="E48" i="2"/>
  <c r="F48" i="2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E398" i="1"/>
  <c r="F398" i="1"/>
  <c r="B268" i="1"/>
  <c r="C268" i="1" s="1"/>
  <c r="E57" i="1"/>
  <c r="E397" i="1" s="1"/>
  <c r="F397" i="1"/>
  <c r="G106" i="1"/>
  <c r="H106" i="1" s="1"/>
  <c r="C107" i="1"/>
  <c r="G107" i="1" s="1"/>
  <c r="H107" i="1" s="1"/>
  <c r="I107" i="1" s="1"/>
  <c r="D131" i="1"/>
  <c r="F131" i="1" s="1"/>
  <c r="F126" i="1"/>
  <c r="G126" i="1" s="1"/>
  <c r="C127" i="1"/>
  <c r="C128" i="1" s="1"/>
  <c r="F127" i="1"/>
  <c r="E85" i="1"/>
  <c r="D85" i="1" s="1"/>
  <c r="E93" i="1"/>
  <c r="D93" i="1" s="1"/>
  <c r="E88" i="1"/>
  <c r="D88" i="1" s="1"/>
  <c r="E82" i="1"/>
  <c r="D82" i="1" s="1"/>
  <c r="E96" i="1"/>
  <c r="D96" i="1" s="1"/>
  <c r="E84" i="1"/>
  <c r="D84" i="1" s="1"/>
  <c r="E87" i="1"/>
  <c r="D87" i="1" s="1"/>
  <c r="E90" i="1"/>
  <c r="D90" i="1" s="1"/>
  <c r="E86" i="1"/>
  <c r="D86" i="1" s="1"/>
  <c r="E92" i="1"/>
  <c r="D92" i="1" s="1"/>
  <c r="E91" i="1"/>
  <c r="D91" i="1" s="1"/>
  <c r="E89" i="1"/>
  <c r="D89" i="1" s="1"/>
  <c r="E94" i="1"/>
  <c r="D94" i="1" s="1"/>
  <c r="E81" i="1"/>
  <c r="E95" i="1"/>
  <c r="D95" i="1" s="1"/>
  <c r="F376" i="1" l="1"/>
  <c r="G376" i="1" s="1"/>
  <c r="F368" i="1"/>
  <c r="H368" i="1" s="1"/>
  <c r="F375" i="1"/>
  <c r="G375" i="1" s="1"/>
  <c r="F367" i="1"/>
  <c r="G367" i="1" s="1"/>
  <c r="F373" i="1"/>
  <c r="F377" i="1"/>
  <c r="H377" i="1" s="1"/>
  <c r="F370" i="1"/>
  <c r="H370" i="1" s="1"/>
  <c r="F372" i="1"/>
  <c r="F365" i="1"/>
  <c r="F364" i="1"/>
  <c r="F371" i="1"/>
  <c r="F378" i="1"/>
  <c r="F374" i="1"/>
  <c r="F366" i="1"/>
  <c r="I376" i="1"/>
  <c r="G368" i="1"/>
  <c r="I375" i="1"/>
  <c r="I367" i="1"/>
  <c r="H367" i="1"/>
  <c r="G373" i="1"/>
  <c r="H373" i="1"/>
  <c r="I373" i="1"/>
  <c r="G377" i="1"/>
  <c r="F369" i="1"/>
  <c r="I132" i="2"/>
  <c r="H132" i="2"/>
  <c r="I138" i="2"/>
  <c r="H138" i="2"/>
  <c r="I137" i="2"/>
  <c r="H137" i="2"/>
  <c r="I133" i="2"/>
  <c r="H133" i="2"/>
  <c r="I140" i="2"/>
  <c r="H140" i="2"/>
  <c r="I135" i="2"/>
  <c r="H135" i="2"/>
  <c r="I134" i="2"/>
  <c r="H134" i="2"/>
  <c r="I136" i="2"/>
  <c r="H136" i="2"/>
  <c r="I139" i="2"/>
  <c r="H139" i="2"/>
  <c r="F363" i="1"/>
  <c r="F404" i="1" s="1"/>
  <c r="F327" i="1"/>
  <c r="F330" i="1"/>
  <c r="F326" i="1"/>
  <c r="F323" i="1"/>
  <c r="F325" i="1"/>
  <c r="F324" i="1"/>
  <c r="F332" i="1"/>
  <c r="G141" i="2"/>
  <c r="G323" i="2" s="1"/>
  <c r="G142" i="2"/>
  <c r="F40" i="2"/>
  <c r="E110" i="2" s="1"/>
  <c r="F110" i="2"/>
  <c r="C19" i="2"/>
  <c r="D19" i="2" s="1"/>
  <c r="E18" i="2"/>
  <c r="F18" i="2" s="1"/>
  <c r="D268" i="1"/>
  <c r="E268" i="1" s="1"/>
  <c r="F268" i="1" s="1"/>
  <c r="D81" i="1"/>
  <c r="F396" i="1" s="1"/>
  <c r="E396" i="1"/>
  <c r="I106" i="1"/>
  <c r="C108" i="1"/>
  <c r="G108" i="1" s="1"/>
  <c r="H108" i="1" s="1"/>
  <c r="I108" i="1" s="1"/>
  <c r="D132" i="1"/>
  <c r="F132" i="1" s="1"/>
  <c r="H126" i="1"/>
  <c r="I126" i="1" s="1"/>
  <c r="C129" i="1"/>
  <c r="G128" i="1"/>
  <c r="H128" i="1" s="1"/>
  <c r="I128" i="1" s="1"/>
  <c r="G127" i="1"/>
  <c r="H127" i="1" s="1"/>
  <c r="I127" i="1" s="1"/>
  <c r="H375" i="1" l="1"/>
  <c r="I377" i="1"/>
  <c r="H376" i="1"/>
  <c r="J376" i="1" s="1"/>
  <c r="I368" i="1"/>
  <c r="I370" i="1"/>
  <c r="J370" i="1" s="1"/>
  <c r="G370" i="1"/>
  <c r="G325" i="1"/>
  <c r="H325" i="1"/>
  <c r="I325" i="1"/>
  <c r="I327" i="1"/>
  <c r="G327" i="1"/>
  <c r="H327" i="1"/>
  <c r="G332" i="1"/>
  <c r="H332" i="1"/>
  <c r="I332" i="1"/>
  <c r="H369" i="1"/>
  <c r="G369" i="1"/>
  <c r="I369" i="1"/>
  <c r="I323" i="1"/>
  <c r="H323" i="1"/>
  <c r="G323" i="1"/>
  <c r="H366" i="1"/>
  <c r="I366" i="1"/>
  <c r="G366" i="1"/>
  <c r="G326" i="1"/>
  <c r="H326" i="1"/>
  <c r="I326" i="1"/>
  <c r="H374" i="1"/>
  <c r="G374" i="1"/>
  <c r="I374" i="1"/>
  <c r="F335" i="1"/>
  <c r="H330" i="1"/>
  <c r="I330" i="1"/>
  <c r="G330" i="1"/>
  <c r="I378" i="1"/>
  <c r="G378" i="1"/>
  <c r="H378" i="1"/>
  <c r="G371" i="1"/>
  <c r="H371" i="1"/>
  <c r="I371" i="1"/>
  <c r="H364" i="1"/>
  <c r="I364" i="1"/>
  <c r="G364" i="1"/>
  <c r="G365" i="1"/>
  <c r="I365" i="1"/>
  <c r="H365" i="1"/>
  <c r="G324" i="1"/>
  <c r="H324" i="1"/>
  <c r="I324" i="1"/>
  <c r="G372" i="1"/>
  <c r="I372" i="1"/>
  <c r="H372" i="1"/>
  <c r="I363" i="1"/>
  <c r="H363" i="1"/>
  <c r="G363" i="1"/>
  <c r="E404" i="1" s="1"/>
  <c r="I142" i="2"/>
  <c r="H142" i="2"/>
  <c r="I141" i="2"/>
  <c r="H141" i="2"/>
  <c r="H323" i="2" s="1"/>
  <c r="J375" i="1"/>
  <c r="J368" i="1"/>
  <c r="J377" i="1"/>
  <c r="J373" i="1"/>
  <c r="J367" i="1"/>
  <c r="F331" i="1"/>
  <c r="F328" i="1"/>
  <c r="F337" i="1"/>
  <c r="F329" i="1"/>
  <c r="G143" i="2"/>
  <c r="C20" i="2"/>
  <c r="D20" i="2" s="1"/>
  <c r="B269" i="1"/>
  <c r="C109" i="1"/>
  <c r="G109" i="1" s="1"/>
  <c r="H109" i="1" s="1"/>
  <c r="I109" i="1" s="1"/>
  <c r="D133" i="1"/>
  <c r="F133" i="1" s="1"/>
  <c r="C130" i="1"/>
  <c r="G129" i="1"/>
  <c r="H129" i="1" s="1"/>
  <c r="I129" i="1" s="1"/>
  <c r="J323" i="1" l="1"/>
  <c r="J369" i="1"/>
  <c r="J371" i="1"/>
  <c r="J378" i="1"/>
  <c r="J365" i="1"/>
  <c r="J372" i="1"/>
  <c r="J326" i="1"/>
  <c r="J374" i="1"/>
  <c r="J332" i="1"/>
  <c r="J327" i="1"/>
  <c r="I335" i="1"/>
  <c r="G335" i="1"/>
  <c r="H335" i="1"/>
  <c r="F334" i="1"/>
  <c r="G329" i="1"/>
  <c r="H329" i="1"/>
  <c r="I329" i="1"/>
  <c r="G337" i="1"/>
  <c r="H337" i="1"/>
  <c r="I337" i="1"/>
  <c r="G328" i="1"/>
  <c r="H328" i="1"/>
  <c r="I328" i="1"/>
  <c r="F336" i="1"/>
  <c r="G331" i="1"/>
  <c r="H331" i="1"/>
  <c r="I331" i="1"/>
  <c r="F333" i="1"/>
  <c r="F323" i="2"/>
  <c r="I143" i="2"/>
  <c r="H143" i="2"/>
  <c r="J364" i="1"/>
  <c r="J366" i="1"/>
  <c r="J363" i="1"/>
  <c r="J330" i="1"/>
  <c r="J325" i="1"/>
  <c r="J324" i="1"/>
  <c r="G144" i="2"/>
  <c r="E19" i="2"/>
  <c r="F19" i="2" s="1"/>
  <c r="C21" i="2"/>
  <c r="D21" i="2" s="1"/>
  <c r="E20" i="2"/>
  <c r="F20" i="2" s="1"/>
  <c r="C269" i="1"/>
  <c r="D269" i="1" s="1"/>
  <c r="C110" i="1"/>
  <c r="G110" i="1" s="1"/>
  <c r="H110" i="1" s="1"/>
  <c r="I110" i="1" s="1"/>
  <c r="D134" i="1"/>
  <c r="F134" i="1" s="1"/>
  <c r="C131" i="1"/>
  <c r="G130" i="1"/>
  <c r="H130" i="1" s="1"/>
  <c r="I130" i="1" s="1"/>
  <c r="J337" i="1" l="1"/>
  <c r="J328" i="1"/>
  <c r="J331" i="1"/>
  <c r="J335" i="1"/>
  <c r="J329" i="1"/>
  <c r="G336" i="1"/>
  <c r="H336" i="1"/>
  <c r="I336" i="1"/>
  <c r="F338" i="1"/>
  <c r="G333" i="1"/>
  <c r="H333" i="1"/>
  <c r="I333" i="1"/>
  <c r="G334" i="1"/>
  <c r="H334" i="1"/>
  <c r="I334" i="1"/>
  <c r="I144" i="2"/>
  <c r="H144" i="2"/>
  <c r="G146" i="2"/>
  <c r="G145" i="2"/>
  <c r="C22" i="2"/>
  <c r="D22" i="2" s="1"/>
  <c r="E21" i="2"/>
  <c r="F21" i="2" s="1"/>
  <c r="E269" i="1"/>
  <c r="F269" i="1" s="1"/>
  <c r="B270" i="1"/>
  <c r="C270" i="1" s="1"/>
  <c r="D270" i="1" s="1"/>
  <c r="E270" i="1" s="1"/>
  <c r="F270" i="1" s="1"/>
  <c r="C111" i="1"/>
  <c r="D135" i="1"/>
  <c r="F135" i="1" s="1"/>
  <c r="C132" i="1"/>
  <c r="G131" i="1"/>
  <c r="H131" i="1" s="1"/>
  <c r="I131" i="1" s="1"/>
  <c r="J336" i="1" l="1"/>
  <c r="J333" i="1"/>
  <c r="H338" i="1"/>
  <c r="I338" i="1"/>
  <c r="G338" i="1"/>
  <c r="J334" i="1"/>
  <c r="I145" i="2"/>
  <c r="H145" i="2"/>
  <c r="I146" i="2"/>
  <c r="H146" i="2"/>
  <c r="C23" i="2"/>
  <c r="D23" i="2" s="1"/>
  <c r="E22" i="2"/>
  <c r="F22" i="2" s="1"/>
  <c r="B271" i="1"/>
  <c r="C271" i="1" s="1"/>
  <c r="G111" i="1"/>
  <c r="H111" i="1" s="1"/>
  <c r="I111" i="1" s="1"/>
  <c r="C112" i="1"/>
  <c r="D136" i="1"/>
  <c r="F136" i="1" s="1"/>
  <c r="G132" i="1"/>
  <c r="H132" i="1" s="1"/>
  <c r="I132" i="1" s="1"/>
  <c r="C133" i="1"/>
  <c r="J338" i="1" l="1"/>
  <c r="C24" i="2"/>
  <c r="D24" i="2" s="1"/>
  <c r="E23" i="2"/>
  <c r="F23" i="2" s="1"/>
  <c r="D271" i="1"/>
  <c r="E271" i="1" s="1"/>
  <c r="F271" i="1" s="1"/>
  <c r="G112" i="1"/>
  <c r="H112" i="1" s="1"/>
  <c r="I112" i="1" s="1"/>
  <c r="C113" i="1"/>
  <c r="D137" i="1"/>
  <c r="F137" i="1" s="1"/>
  <c r="G133" i="1"/>
  <c r="H133" i="1" s="1"/>
  <c r="I133" i="1" s="1"/>
  <c r="C134" i="1"/>
  <c r="C25" i="2" l="1"/>
  <c r="D25" i="2" s="1"/>
  <c r="E24" i="2"/>
  <c r="F24" i="2" s="1"/>
  <c r="B272" i="1"/>
  <c r="C272" i="1" s="1"/>
  <c r="G113" i="1"/>
  <c r="H113" i="1" s="1"/>
  <c r="I113" i="1" s="1"/>
  <c r="C114" i="1"/>
  <c r="D138" i="1"/>
  <c r="F138" i="1" s="1"/>
  <c r="C135" i="1"/>
  <c r="G134" i="1"/>
  <c r="H134" i="1" s="1"/>
  <c r="I134" i="1" s="1"/>
  <c r="C26" i="2" l="1"/>
  <c r="D26" i="2" s="1"/>
  <c r="E25" i="2"/>
  <c r="F25" i="2" s="1"/>
  <c r="D272" i="1"/>
  <c r="E272" i="1" s="1"/>
  <c r="F272" i="1" s="1"/>
  <c r="G114" i="1"/>
  <c r="H114" i="1" s="1"/>
  <c r="I114" i="1" s="1"/>
  <c r="C115" i="1"/>
  <c r="D139" i="1"/>
  <c r="F139" i="1" s="1"/>
  <c r="G135" i="1"/>
  <c r="H135" i="1" s="1"/>
  <c r="I135" i="1" s="1"/>
  <c r="C136" i="1"/>
  <c r="C27" i="2" l="1"/>
  <c r="D27" i="2" s="1"/>
  <c r="E26" i="2"/>
  <c r="F26" i="2" s="1"/>
  <c r="B273" i="1"/>
  <c r="C273" i="1" s="1"/>
  <c r="G115" i="1"/>
  <c r="H115" i="1" s="1"/>
  <c r="I115" i="1" s="1"/>
  <c r="C116" i="1"/>
  <c r="D140" i="1"/>
  <c r="F140" i="1" s="1"/>
  <c r="D141" i="1"/>
  <c r="F141" i="1" s="1"/>
  <c r="C137" i="1"/>
  <c r="G136" i="1"/>
  <c r="H136" i="1" s="1"/>
  <c r="I136" i="1" s="1"/>
  <c r="C28" i="2" l="1"/>
  <c r="D28" i="2" s="1"/>
  <c r="E27" i="2"/>
  <c r="F27" i="2" s="1"/>
  <c r="D273" i="1"/>
  <c r="E273" i="1" s="1"/>
  <c r="F273" i="1" s="1"/>
  <c r="G116" i="1"/>
  <c r="H116" i="1" s="1"/>
  <c r="I116" i="1" s="1"/>
  <c r="C117" i="1"/>
  <c r="G137" i="1"/>
  <c r="H137" i="1" s="1"/>
  <c r="I137" i="1" s="1"/>
  <c r="C138" i="1"/>
  <c r="C29" i="2" l="1"/>
  <c r="D29" i="2" s="1"/>
  <c r="E28" i="2"/>
  <c r="F28" i="2" s="1"/>
  <c r="B274" i="1"/>
  <c r="C274" i="1" s="1"/>
  <c r="G117" i="1"/>
  <c r="H117" i="1" s="1"/>
  <c r="I117" i="1" s="1"/>
  <c r="C118" i="1"/>
  <c r="G138" i="1"/>
  <c r="H138" i="1" s="1"/>
  <c r="I138" i="1" s="1"/>
  <c r="C139" i="1"/>
  <c r="C30" i="2" l="1"/>
  <c r="D30" i="2" s="1"/>
  <c r="E29" i="2"/>
  <c r="F29" i="2" s="1"/>
  <c r="D274" i="1"/>
  <c r="E274" i="1" s="1"/>
  <c r="F274" i="1" s="1"/>
  <c r="G118" i="1"/>
  <c r="H118" i="1" s="1"/>
  <c r="I118" i="1" s="1"/>
  <c r="C119" i="1"/>
  <c r="C140" i="1"/>
  <c r="G139" i="1"/>
  <c r="H139" i="1" s="1"/>
  <c r="I139" i="1" s="1"/>
  <c r="E30" i="2" l="1"/>
  <c r="F30" i="2" s="1"/>
  <c r="C31" i="2"/>
  <c r="B275" i="1"/>
  <c r="C275" i="1" s="1"/>
  <c r="G119" i="1"/>
  <c r="H119" i="1" s="1"/>
  <c r="I119" i="1" s="1"/>
  <c r="C120" i="1"/>
  <c r="G140" i="1"/>
  <c r="H140" i="1" s="1"/>
  <c r="I140" i="1" s="1"/>
  <c r="C141" i="1"/>
  <c r="G141" i="1" s="1"/>
  <c r="H141" i="1" s="1"/>
  <c r="I141" i="1" s="1"/>
  <c r="D31" i="2" l="1"/>
  <c r="E31" i="2" s="1"/>
  <c r="F31" i="2" s="1"/>
  <c r="D275" i="1"/>
  <c r="E275" i="1" s="1"/>
  <c r="F275" i="1" s="1"/>
  <c r="G120" i="1"/>
  <c r="H120" i="1" s="1"/>
  <c r="I120" i="1" s="1"/>
  <c r="C121" i="1"/>
  <c r="G121" i="1" s="1"/>
  <c r="H121" i="1" s="1"/>
  <c r="I121" i="1" s="1"/>
  <c r="B276" i="1" l="1"/>
  <c r="C276" i="1" s="1"/>
  <c r="D276" i="1" l="1"/>
  <c r="E276" i="1" s="1"/>
  <c r="F276" i="1" s="1"/>
  <c r="E292" i="1"/>
  <c r="B277" i="1" l="1"/>
  <c r="C277" i="1" s="1"/>
  <c r="D277" i="1" l="1"/>
  <c r="E277" i="1" s="1"/>
  <c r="F277" i="1" s="1"/>
  <c r="E293" i="1"/>
  <c r="B278" i="1" l="1"/>
  <c r="C278" i="1" s="1"/>
  <c r="E294" i="1"/>
  <c r="D278" i="1" l="1"/>
  <c r="E278" i="1" s="1"/>
  <c r="F278" i="1" s="1"/>
  <c r="E295" i="1" l="1"/>
  <c r="B279" i="1"/>
  <c r="C279" i="1" s="1"/>
  <c r="D279" i="1" l="1"/>
  <c r="E279" i="1" s="1"/>
  <c r="F279" i="1" s="1"/>
  <c r="B280" i="1" l="1"/>
  <c r="C280" i="1" s="1"/>
  <c r="E296" i="1"/>
  <c r="D280" i="1" l="1"/>
  <c r="E280" i="1" s="1"/>
  <c r="F280" i="1" s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256" i="2"/>
  <c r="E120" i="2"/>
  <c r="E257" i="2"/>
  <c r="F270" i="2" l="1"/>
  <c r="F268" i="2"/>
  <c r="I268" i="2" s="1"/>
  <c r="F272" i="2"/>
  <c r="F271" i="2"/>
  <c r="F269" i="2"/>
  <c r="E238" i="2"/>
  <c r="F238" i="2" s="1"/>
  <c r="G238" i="2" s="1"/>
  <c r="E246" i="2"/>
  <c r="E195" i="2"/>
  <c r="F195" i="2" s="1"/>
  <c r="G195" i="2" s="1"/>
  <c r="E203" i="2"/>
  <c r="F203" i="2" s="1"/>
  <c r="G203" i="2" s="1"/>
  <c r="E194" i="2"/>
  <c r="E239" i="2"/>
  <c r="F239" i="2" s="1"/>
  <c r="G239" i="2" s="1"/>
  <c r="E247" i="2"/>
  <c r="F247" i="2" s="1"/>
  <c r="G247" i="2" s="1"/>
  <c r="E196" i="2"/>
  <c r="F196" i="2" s="1"/>
  <c r="G196" i="2" s="1"/>
  <c r="E204" i="2"/>
  <c r="E240" i="2"/>
  <c r="F240" i="2" s="1"/>
  <c r="G240" i="2" s="1"/>
  <c r="E248" i="2"/>
  <c r="F248" i="2" s="1"/>
  <c r="G248" i="2" s="1"/>
  <c r="E197" i="2"/>
  <c r="F197" i="2" s="1"/>
  <c r="G197" i="2" s="1"/>
  <c r="E205" i="2"/>
  <c r="F205" i="2" s="1"/>
  <c r="G205" i="2" s="1"/>
  <c r="E241" i="2"/>
  <c r="F241" i="2" s="1"/>
  <c r="G241" i="2" s="1"/>
  <c r="E249" i="2"/>
  <c r="F249" i="2" s="1"/>
  <c r="G249" i="2" s="1"/>
  <c r="E198" i="2"/>
  <c r="F198" i="2" s="1"/>
  <c r="G198" i="2" s="1"/>
  <c r="E206" i="2"/>
  <c r="F206" i="2" s="1"/>
  <c r="G206" i="2" s="1"/>
  <c r="E242" i="2"/>
  <c r="F242" i="2" s="1"/>
  <c r="G242" i="2" s="1"/>
  <c r="E250" i="2"/>
  <c r="F250" i="2" s="1"/>
  <c r="G250" i="2" s="1"/>
  <c r="E199" i="2"/>
  <c r="F199" i="2" s="1"/>
  <c r="G199" i="2" s="1"/>
  <c r="E207" i="2"/>
  <c r="F207" i="2" s="1"/>
  <c r="G207" i="2" s="1"/>
  <c r="E202" i="2"/>
  <c r="F202" i="2" s="1"/>
  <c r="G202" i="2" s="1"/>
  <c r="E243" i="2"/>
  <c r="F243" i="2" s="1"/>
  <c r="G243" i="2" s="1"/>
  <c r="E251" i="2"/>
  <c r="F251" i="2" s="1"/>
  <c r="G251" i="2" s="1"/>
  <c r="E200" i="2"/>
  <c r="F200" i="2" s="1"/>
  <c r="G200" i="2" s="1"/>
  <c r="E208" i="2"/>
  <c r="F208" i="2" s="1"/>
  <c r="G208" i="2" s="1"/>
  <c r="E244" i="2"/>
  <c r="F244" i="2" s="1"/>
  <c r="G244" i="2" s="1"/>
  <c r="E236" i="2"/>
  <c r="E201" i="2"/>
  <c r="F201" i="2" s="1"/>
  <c r="G201" i="2" s="1"/>
  <c r="E209" i="2"/>
  <c r="F209" i="2" s="1"/>
  <c r="G209" i="2" s="1"/>
  <c r="E237" i="2"/>
  <c r="F237" i="2" s="1"/>
  <c r="G237" i="2" s="1"/>
  <c r="E245" i="2"/>
  <c r="F245" i="2" s="1"/>
  <c r="G245" i="2" s="1"/>
  <c r="E153" i="2"/>
  <c r="F153" i="2" s="1"/>
  <c r="G153" i="2" s="1"/>
  <c r="H153" i="2" s="1"/>
  <c r="E157" i="2"/>
  <c r="F157" i="2" s="1"/>
  <c r="G157" i="2" s="1"/>
  <c r="H157" i="2" s="1"/>
  <c r="E161" i="2"/>
  <c r="F161" i="2" s="1"/>
  <c r="G161" i="2" s="1"/>
  <c r="H161" i="2" s="1"/>
  <c r="E165" i="2"/>
  <c r="F165" i="2" s="1"/>
  <c r="G165" i="2" s="1"/>
  <c r="H165" i="2" s="1"/>
  <c r="E154" i="2"/>
  <c r="F154" i="2" s="1"/>
  <c r="G154" i="2" s="1"/>
  <c r="H154" i="2" s="1"/>
  <c r="E158" i="2"/>
  <c r="F158" i="2" s="1"/>
  <c r="G158" i="2" s="1"/>
  <c r="H158" i="2" s="1"/>
  <c r="E160" i="2"/>
  <c r="F160" i="2" s="1"/>
  <c r="G160" i="2" s="1"/>
  <c r="H160" i="2" s="1"/>
  <c r="E162" i="2"/>
  <c r="F162" i="2" s="1"/>
  <c r="E166" i="2"/>
  <c r="F166" i="2" s="1"/>
  <c r="G166" i="2" s="1"/>
  <c r="H166" i="2" s="1"/>
  <c r="E164" i="2"/>
  <c r="F164" i="2" s="1"/>
  <c r="G164" i="2" s="1"/>
  <c r="H164" i="2" s="1"/>
  <c r="E163" i="2"/>
  <c r="F163" i="2" s="1"/>
  <c r="G163" i="2" s="1"/>
  <c r="H163" i="2" s="1"/>
  <c r="E152" i="2"/>
  <c r="F152" i="2" s="1"/>
  <c r="E155" i="2"/>
  <c r="F155" i="2" s="1"/>
  <c r="G155" i="2" s="1"/>
  <c r="H155" i="2" s="1"/>
  <c r="E159" i="2"/>
  <c r="F159" i="2" s="1"/>
  <c r="G159" i="2" s="1"/>
  <c r="H159" i="2" s="1"/>
  <c r="E156" i="2"/>
  <c r="F156" i="2" s="1"/>
  <c r="G156" i="2" s="1"/>
  <c r="H156" i="2" s="1"/>
  <c r="E167" i="2"/>
  <c r="F167" i="2" s="1"/>
  <c r="G167" i="2" s="1"/>
  <c r="H167" i="2" s="1"/>
  <c r="G269" i="2" l="1"/>
  <c r="I269" i="2"/>
  <c r="G271" i="2"/>
  <c r="H271" i="2" s="1"/>
  <c r="I271" i="2"/>
  <c r="G272" i="2"/>
  <c r="I272" i="2"/>
  <c r="G270" i="2"/>
  <c r="H270" i="2" s="1"/>
  <c r="I270" i="2"/>
  <c r="G268" i="2"/>
  <c r="G311" i="2"/>
  <c r="F194" i="2"/>
  <c r="F313" i="2"/>
  <c r="G152" i="2"/>
  <c r="F309" i="2"/>
  <c r="F236" i="2"/>
  <c r="F315" i="2"/>
  <c r="F246" i="2"/>
  <c r="F326" i="2"/>
  <c r="F204" i="2"/>
  <c r="F324" i="2"/>
  <c r="G162" i="2"/>
  <c r="F321" i="2"/>
  <c r="F275" i="2" l="1"/>
  <c r="J270" i="2"/>
  <c r="K270" i="2" s="1"/>
  <c r="F274" i="2"/>
  <c r="J269" i="2"/>
  <c r="K269" i="2" s="1"/>
  <c r="F276" i="2"/>
  <c r="J271" i="2"/>
  <c r="K271" i="2" s="1"/>
  <c r="F277" i="2"/>
  <c r="J272" i="2"/>
  <c r="K272" i="2" s="1"/>
  <c r="H269" i="2"/>
  <c r="H272" i="2"/>
  <c r="H268" i="2"/>
  <c r="F311" i="2" s="1"/>
  <c r="J268" i="2"/>
  <c r="K268" i="2" s="1"/>
  <c r="H311" i="2"/>
  <c r="F273" i="2"/>
  <c r="I273" i="2" s="1"/>
  <c r="G236" i="2"/>
  <c r="H315" i="2" s="1"/>
  <c r="G315" i="2"/>
  <c r="H162" i="2"/>
  <c r="H321" i="2" s="1"/>
  <c r="G321" i="2"/>
  <c r="H152" i="2"/>
  <c r="H309" i="2" s="1"/>
  <c r="G309" i="2"/>
  <c r="G204" i="2"/>
  <c r="H324" i="2" s="1"/>
  <c r="G324" i="2"/>
  <c r="G194" i="2"/>
  <c r="H313" i="2" s="1"/>
  <c r="G313" i="2"/>
  <c r="G246" i="2"/>
  <c r="H326" i="2" s="1"/>
  <c r="G326" i="2"/>
  <c r="G277" i="2" l="1"/>
  <c r="I277" i="2"/>
  <c r="G276" i="2"/>
  <c r="I276" i="2"/>
  <c r="G274" i="2"/>
  <c r="I274" i="2"/>
  <c r="G275" i="2"/>
  <c r="I275" i="2"/>
  <c r="G273" i="2"/>
  <c r="J273" i="2" s="1"/>
  <c r="F280" i="2" l="1"/>
  <c r="J275" i="2"/>
  <c r="K275" i="2" s="1"/>
  <c r="H275" i="2"/>
  <c r="F282" i="2"/>
  <c r="J277" i="2"/>
  <c r="K277" i="2" s="1"/>
  <c r="H277" i="2"/>
  <c r="F281" i="2"/>
  <c r="J276" i="2"/>
  <c r="K276" i="2" s="1"/>
  <c r="H276" i="2"/>
  <c r="F279" i="2"/>
  <c r="J274" i="2"/>
  <c r="K274" i="2" s="1"/>
  <c r="H274" i="2"/>
  <c r="F278" i="2"/>
  <c r="I278" i="2" s="1"/>
  <c r="K273" i="2"/>
  <c r="H273" i="2"/>
  <c r="G280" i="2" l="1"/>
  <c r="I280" i="2"/>
  <c r="G282" i="2"/>
  <c r="I282" i="2"/>
  <c r="G281" i="2"/>
  <c r="I281" i="2"/>
  <c r="G279" i="2"/>
  <c r="I279" i="2"/>
  <c r="G278" i="2"/>
  <c r="J278" i="2" s="1"/>
  <c r="G322" i="2"/>
  <c r="J279" i="2" l="1"/>
  <c r="K279" i="2" s="1"/>
  <c r="H279" i="2"/>
  <c r="J280" i="2"/>
  <c r="K280" i="2" s="1"/>
  <c r="H280" i="2"/>
  <c r="J281" i="2"/>
  <c r="K281" i="2" s="1"/>
  <c r="H281" i="2"/>
  <c r="J282" i="2"/>
  <c r="K282" i="2" s="1"/>
  <c r="H282" i="2"/>
  <c r="F283" i="2"/>
  <c r="I283" i="2" s="1"/>
  <c r="H322" i="2"/>
  <c r="K278" i="2"/>
  <c r="H278" i="2"/>
  <c r="F322" i="2" s="1"/>
  <c r="G283" i="2" l="1"/>
  <c r="J283" i="2" s="1"/>
  <c r="K283" i="2" l="1"/>
  <c r="H283" i="2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<sst xmlns="http://schemas.openxmlformats.org/spreadsheetml/2006/main" count="722" uniqueCount="198">
  <si>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</si>
  <si>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</si>
  <si>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</si>
  <si>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</si>
  <si>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</si>
  <si>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</si>
  <si>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</si>
  <si>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</si>
  <si>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</si>
  <si>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</si>
  <si>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</si>
  <si>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</si>
  <si>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</si>
  <si>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</si>
  <si>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</si>
  <si>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</si>
  <si>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</si>
  <si>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</si>
  <si>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</si>
  <si>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</si>
  <si>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</si>
  <si>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</si>
  <si>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</si>
  <si>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</si>
  <si>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</si>
  <si>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</si>
  <si>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</si>
  <si>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</si>
  <si>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</si>
  <si>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</si>
  <si>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</si>
  <si>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</si>
  <si>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</si>
  <si>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</si>
  <si>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</si>
  <si>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</si>
  <si>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</si>
  <si>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</si>
  <si>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</si>
  <si>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</si>
  <si>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</si>
  <si>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</si>
  <si>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</si>
  <si>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</si>
  <si>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</si>
  <si>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</si>
  <si>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</si>
  <si>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</si>
  <si>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</si>
  <si>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</si>
  <si>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</si>
  <si>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</si>
  <si>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</si>
  <si>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</si>
  <si>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</si>
  <si>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</si>
  <si>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</si>
  <si>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</si>
  <si>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</si>
  <si>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</si>
  <si>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</si>
  <si>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</si>
  <si>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</si>
  <si>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</si>
  <si>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</si>
  <si>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</si>
  <si>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</si>
  <si>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</si>
  <si>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</si>
  <si>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</si>
  <si>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</si>
  <si>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</si>
  <si>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</si>
  <si>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</si>
  <si>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</si>
  <si>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</si>
  <si>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</si>
  <si>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</si>
  <si>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</si>
  <si>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</si>
  <si>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</si>
  <si>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</si>
  <si>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</si>
  <si>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</si>
  <si>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</si>
  <si>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</si>
  <si>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</si>
  <si>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</si>
  <si>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</si>
  <si>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</si>
  <si>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</si>
  <si>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</si>
  <si>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</si>
  <si>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</si>
  <si>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</si>
  <si>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</si>
  <si>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</si>
  <si>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</si>
  <si>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</si>
  <si>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</si>
  <si>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</si>
  <si>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</si>
  <si>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</si>
  <si>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</si>
  <si>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</si>
  <si>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</si>
  <si>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</si>
  <si>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In Memory</t>
  </si>
  <si>
    <t xml:space="preserve">Min </t>
  </si>
  <si>
    <t>Security Goal</t>
  </si>
  <si>
    <t xml:space="preserve">50% Eclipse 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</si>
  <si>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</si>
  <si>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</si>
  <si>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</si>
  <si>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</si>
  <si>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</si>
  <si>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</si>
  <si>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</si>
  <si>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</si>
  <si>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</si>
  <si>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</si>
  <si>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</si>
  <si>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</si>
  <si>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</si>
  <si>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</si>
  <si>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</si>
  <si>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</si>
  <si>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</si>
  <si>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</si>
  <si>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</si>
  <si>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</si>
  <si>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</si>
  <si>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</si>
  <si>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</si>
  <si>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</si>
  <si>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</si>
  <si>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</si>
  <si>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</si>
  <si>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</si>
  <si>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</si>
  <si>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</si>
  <si>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</si>
  <si>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</si>
  <si>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</si>
  <si>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</si>
  <si>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</si>
  <si>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</si>
  <si>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</si>
  <si>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</si>
  <si>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</si>
  <si>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</si>
  <si>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</si>
  <si>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</si>
  <si>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</si>
  <si>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</si>
  <si>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</si>
  <si>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</si>
  <si>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</si>
  <si>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</si>
  <si>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</si>
  <si>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</si>
  <si>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</si>
  <si>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</si>
  <si>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</si>
  <si>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</si>
  <si>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</si>
  <si>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</si>
  <si>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</si>
  <si>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</si>
  <si>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</si>
  <si>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</si>
  <si>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</si>
  <si>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</si>
  <si>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</si>
  <si>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</si>
  <si>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</si>
  <si>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</si>
  <si>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</si>
  <si>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</si>
  <si>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</si>
  <si>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</si>
  <si>
    <t>Initial Sync Download</t>
  </si>
  <si>
    <t>Initial Sync Validation</t>
  </si>
  <si>
    <t>Merkle Levels</t>
  </si>
  <si>
    <t>Max Memory</t>
  </si>
  <si>
    <t>Download</t>
  </si>
  <si>
    <t>Max Chain</t>
  </si>
  <si>
    <t xml:space="preserve">Equivalent </t>
  </si>
  <si>
    <t xml:space="preserve">Non-Utreexo </t>
  </si>
  <si>
    <t>Ongoing Validation</t>
  </si>
  <si>
    <t>tps</t>
  </si>
  <si>
    <t>Emergency Download and Upload</t>
  </si>
  <si>
    <t>Emergency Validation</t>
  </si>
  <si>
    <t>Max Data</t>
  </si>
  <si>
    <t>Transfer</t>
  </si>
  <si>
    <t>Validation</t>
  </si>
  <si>
    <t>Nodes Using</t>
  </si>
  <si>
    <t>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</si>
</sst>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.0\ &quot;s&quot;"/>
    <numFmt numFmtId="194" formatCode="#\ &quot;ms&quot;"/>
    <numFmt numFmtId="195" formatCode="#.000\ &quot;s&quot;"/>
    <numFmt numFmtId="196" formatCode="#,###.00\ &quot;s&quot;"/>
    <numFmt numFmtId="197" formatCode="#,##0.000&quot; s&quot;"/>
    <numFmt numFmtId="198" formatCode="#\ &quot;km&quot;"/>
    <numFmt numFmtId="199" formatCode="#&quot; ms&quot;"/>
    <numFmt numFmtId="200" formatCode="0.00\ &quot;s&quot;"/>
    <numFmt numFmtId="201" formatCode="0%&quot;/yr&quot;"/>
    <numFmt numFmtId="202" formatCode="#.00\ &quot;s&quot;"/>
    <numFmt numFmtId="203" formatCode="0.0000000"/>
    <numFmt numFmtId="204" formatCode="#\ &quot; Billion&quot;"/>
    <numFmt numFmtId="205" formatCode="&quot;&gt;&quot;#\ &quot;Billion&quot;"/>
    <numFmt numFmtId="206" formatCode="#.#"/>
    <numFmt numFmtId="207" formatCode="#,###"/>
    <numFmt numFmtId="208" formatCode="#.#\ &quot;GB&quot;"/>
    <numFmt numFmtId="209" formatCode="#,###\ &quot;GB/yr&quot;"/>
    <numFmt numFmtId="210" formatCode="#.0\ &quot;Billion&quot;"/>
    <numFmt numFmtId="211" formatCode="#\ &quot;KB/s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3" fontId="0" fillId="0" borderId="0" xfId="0" applyNumberFormat="1"/>
    <xf numFmtId="194" fontId="13" fillId="2" borderId="0" xfId="0" applyNumberFormat="1" applyFont="1" applyFill="1" applyAlignment="1">
      <alignment horizontal="center"/>
    </xf>
    <xf numFmtId="194" fontId="13" fillId="3" borderId="0" xfId="0" applyNumberFormat="1" applyFont="1" applyFill="1" applyAlignment="1">
      <alignment horizontal="center"/>
    </xf>
    <xf numFmtId="195" fontId="0" fillId="0" borderId="0" xfId="0" applyNumberFormat="1"/>
    <xf numFmtId="196" fontId="0" fillId="0" borderId="0" xfId="1" applyNumberFormat="1" applyFont="1"/>
    <xf numFmtId="197" fontId="0" fillId="0" borderId="0" xfId="0" applyNumberFormat="1"/>
    <xf numFmtId="0" fontId="0" fillId="0" borderId="0" xfId="0" applyAlignment="1">
      <alignment horizontal="center"/>
    </xf>
    <xf numFmtId="199" fontId="0" fillId="5" borderId="0" xfId="0" applyNumberFormat="1" applyFill="1"/>
    <xf numFmtId="198" fontId="0" fillId="5" borderId="0" xfId="0" applyNumberFormat="1" applyFill="1"/>
    <xf numFmtId="199" fontId="0" fillId="6" borderId="0" xfId="0" applyNumberFormat="1" applyFill="1"/>
    <xf numFmtId="198" fontId="0" fillId="6" borderId="0" xfId="0" applyNumberFormat="1" applyFill="1"/>
    <xf numFmtId="199" fontId="0" fillId="7" borderId="0" xfId="0" applyNumberFormat="1" applyFill="1"/>
    <xf numFmtId="198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0" fontId="0" fillId="0" borderId="5" xfId="0" applyNumberFormat="1" applyBorder="1"/>
    <xf numFmtId="0" fontId="0" fillId="0" borderId="6" xfId="0" applyBorder="1"/>
    <xf numFmtId="200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01" fontId="0" fillId="2" borderId="0" xfId="0" applyNumberFormat="1" applyFill="1"/>
    <xf numFmtId="201" fontId="13" fillId="2" borderId="0" xfId="0" applyNumberFormat="1" applyFont="1" applyFill="1" applyAlignment="1">
      <alignment horizontal="center"/>
    </xf>
    <xf numFmtId="194" fontId="0" fillId="3" borderId="0" xfId="0" applyNumberFormat="1" applyFill="1"/>
    <xf numFmtId="194" fontId="0" fillId="2" borderId="0" xfId="0" applyNumberFormat="1" applyFill="1"/>
    <xf numFmtId="202" fontId="0" fillId="0" borderId="0" xfId="0" applyNumberFormat="1"/>
    <xf numFmtId="0" fontId="0" fillId="4" borderId="0" xfId="0" applyFill="1" applyAlignment="1">
      <alignment horizontal="right"/>
    </xf>
    <xf numFmtId="203" fontId="0" fillId="0" borderId="0" xfId="0" applyNumberFormat="1"/>
    <xf numFmtId="170" fontId="0" fillId="4" borderId="0" xfId="0" applyNumberFormat="1" applyFill="1"/>
    <xf numFmtId="194" fontId="0" fillId="0" borderId="0" xfId="0" applyNumberFormat="1" applyFont="1"/>
    <xf numFmtId="204" fontId="0" fillId="2" borderId="0" xfId="0" applyNumberFormat="1" applyFill="1"/>
    <xf numFmtId="20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3" fontId="6" fillId="0" borderId="0" xfId="0" applyNumberFormat="1" applyFont="1"/>
    <xf numFmtId="206" fontId="0" fillId="3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7" fontId="0" fillId="0" borderId="0" xfId="0" applyNumberFormat="1"/>
    <xf numFmtId="0" fontId="2" fillId="0" borderId="0" xfId="0" applyFont="1" applyAlignment="1">
      <alignment horizontal="center"/>
    </xf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211" fontId="0" fillId="0" borderId="0" xfId="0" applyNumberFormat="1"/>
    <xf numFmtId="185" fontId="0" fillId="0" borderId="0" xfId="1" applyNumberFormat="1" applyFont="1" applyFill="1"/>
    <xf numFmtId="172" fontId="0" fillId="0" borderId="0" xfId="0" applyNumberFormat="1" applyFill="1"/>
    <xf numFmtId="18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Bitcoin'!$B$55:$B$56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Bitcoin'!$B$57:$B$72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6416"/>
        <c:axId val="71282688"/>
      </c:lineChart>
      <c:lineChart>
        <c:grouping val="standard"/>
        <c:varyColors val="0"/>
        <c:ser>
          <c:idx val="2"/>
          <c:order val="0"/>
          <c:tx>
            <c:strRef>
              <c:f>'Current Bitcoin'!$D$56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Bitcoin'!$D$57:$D$72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85760"/>
        <c:axId val="71284224"/>
      </c:lineChart>
      <c:catAx>
        <c:axId val="712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282688"/>
        <c:crosses val="autoZero"/>
        <c:auto val="1"/>
        <c:lblAlgn val="ctr"/>
        <c:lblOffset val="100"/>
        <c:noMultiLvlLbl val="0"/>
      </c:catAx>
      <c:valAx>
        <c:axId val="7128268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71276416"/>
        <c:crosses val="autoZero"/>
        <c:crossBetween val="between"/>
      </c:valAx>
      <c:valAx>
        <c:axId val="71284224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1285760"/>
        <c:crosses val="max"/>
        <c:crossBetween val="between"/>
      </c:valAx>
      <c:catAx>
        <c:axId val="712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84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Bitcoin'!$B$79:$B$80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Bitcoin'!$B$81:$B$96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0096"/>
        <c:axId val="86502016"/>
      </c:lineChart>
      <c:lineChart>
        <c:grouping val="standard"/>
        <c:varyColors val="0"/>
        <c:ser>
          <c:idx val="2"/>
          <c:order val="0"/>
          <c:tx>
            <c:strRef>
              <c:f>'Current Bitcoin'!$D$80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Bitcoin'!$D$81:$D$96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1872"/>
        <c:axId val="70910336"/>
      </c:lineChart>
      <c:catAx>
        <c:axId val="865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502016"/>
        <c:crosses val="autoZero"/>
        <c:auto val="1"/>
        <c:lblAlgn val="ctr"/>
        <c:lblOffset val="100"/>
        <c:noMultiLvlLbl val="0"/>
      </c:catAx>
      <c:valAx>
        <c:axId val="86502016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6500096"/>
        <c:crosses val="autoZero"/>
        <c:crossBetween val="between"/>
      </c:valAx>
      <c:valAx>
        <c:axId val="70910336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0911872"/>
        <c:crosses val="max"/>
        <c:crossBetween val="between"/>
      </c:valAx>
      <c:catAx>
        <c:axId val="70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10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Bitcoin'!$E$104:$E$105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Bitcoin'!$E$106:$E$121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6176"/>
        <c:axId val="70952448"/>
      </c:lineChart>
      <c:lineChart>
        <c:grouping val="standard"/>
        <c:varyColors val="0"/>
        <c:ser>
          <c:idx val="2"/>
          <c:order val="0"/>
          <c:tx>
            <c:strRef>
              <c:f>'Current Bitcoin'!$C$105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Bitcoin'!$C$106:$C$121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5776"/>
        <c:axId val="70953984"/>
      </c:lineChart>
      <c:catAx>
        <c:axId val="709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952448"/>
        <c:crosses val="autoZero"/>
        <c:auto val="1"/>
        <c:lblAlgn val="ctr"/>
        <c:lblOffset val="100"/>
        <c:noMultiLvlLbl val="0"/>
      </c:catAx>
      <c:valAx>
        <c:axId val="7095244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70946176"/>
        <c:crosses val="autoZero"/>
        <c:crossBetween val="between"/>
      </c:valAx>
      <c:valAx>
        <c:axId val="7095398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0955776"/>
        <c:crosses val="max"/>
        <c:crossBetween val="between"/>
      </c:valAx>
      <c:catAx>
        <c:axId val="7095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53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Bitcoin'!$E$124:$E$125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Bitcoin'!$E$126:$E$141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216"/>
        <c:axId val="87311488"/>
      </c:lineChart>
      <c:lineChart>
        <c:grouping val="standard"/>
        <c:varyColors val="0"/>
        <c:ser>
          <c:idx val="2"/>
          <c:order val="0"/>
          <c:tx>
            <c:strRef>
              <c:f>'Current Bitcoin'!$C$125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Bitcoin'!$C$126:$C$141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1200"/>
        <c:axId val="87313024"/>
      </c:lineChart>
      <c:catAx>
        <c:axId val="873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311488"/>
        <c:crosses val="autoZero"/>
        <c:auto val="1"/>
        <c:lblAlgn val="ctr"/>
        <c:lblOffset val="100"/>
        <c:noMultiLvlLbl val="0"/>
      </c:catAx>
      <c:valAx>
        <c:axId val="8731148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305216"/>
        <c:crosses val="autoZero"/>
        <c:crossBetween val="between"/>
      </c:valAx>
      <c:valAx>
        <c:axId val="8731302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7331200"/>
        <c:crosses val="max"/>
        <c:crossBetween val="between"/>
      </c:valAx>
      <c:catAx>
        <c:axId val="873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130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Bitcoin'!$D$289:$D$290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Bitcoin'!$D$291:$D$306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Bitcoin'!$C$289:$C$290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Bitcoin'!$C$291:$C$306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0272"/>
        <c:axId val="87352448"/>
      </c:lineChart>
      <c:catAx>
        <c:axId val="87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352448"/>
        <c:crosses val="autoZero"/>
        <c:auto val="1"/>
        <c:lblAlgn val="ctr"/>
        <c:lblOffset val="100"/>
        <c:noMultiLvlLbl val="0"/>
      </c:catAx>
      <c:valAx>
        <c:axId val="8735244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8735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Bitcoin'!$C$215:$C$216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Bitcoin'!$C$217:$C$232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9456"/>
        <c:axId val="87073920"/>
      </c:lineChart>
      <c:lineChart>
        <c:grouping val="standard"/>
        <c:varyColors val="0"/>
        <c:ser>
          <c:idx val="2"/>
          <c:order val="1"/>
          <c:tx>
            <c:strRef>
              <c:f>'Current Bitcoin'!$B$216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Bitcoin'!$A$217:$A$232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Bitcoin'!$B$217:$B$232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7248"/>
        <c:axId val="87075456"/>
      </c:lineChart>
      <c:catAx>
        <c:axId val="870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073920"/>
        <c:crosses val="autoZero"/>
        <c:auto val="1"/>
        <c:lblAlgn val="ctr"/>
        <c:lblOffset val="100"/>
        <c:noMultiLvlLbl val="0"/>
      </c:catAx>
      <c:valAx>
        <c:axId val="87073920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059456"/>
        <c:crosses val="autoZero"/>
        <c:crossBetween val="between"/>
      </c:valAx>
      <c:valAx>
        <c:axId val="87075456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7077248"/>
        <c:crosses val="max"/>
        <c:crossBetween val="between"/>
      </c:valAx>
      <c:catAx>
        <c:axId val="870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54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Bitcoin'!$C$239:$C$240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Bitcoin'!$C$241:$C$256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Bitcoin'!$B$239:$B$240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Bitcoin'!$B$241:$B$256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2224"/>
        <c:axId val="87176320"/>
      </c:lineChart>
      <c:catAx>
        <c:axId val="870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176320"/>
        <c:crosses val="autoZero"/>
        <c:auto val="1"/>
        <c:lblAlgn val="ctr"/>
        <c:lblOffset val="100"/>
        <c:noMultiLvlLbl val="0"/>
      </c:catAx>
      <c:valAx>
        <c:axId val="87176320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8709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6672"/>
        <c:axId val="87518592"/>
      </c:lineChart>
      <c:catAx>
        <c:axId val="875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518592"/>
        <c:crosses val="autoZero"/>
        <c:auto val="1"/>
        <c:lblAlgn val="ctr"/>
        <c:lblOffset val="100"/>
        <c:noMultiLvlLbl val="0"/>
      </c:catAx>
      <c:valAx>
        <c:axId val="8751859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8751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55</xdr:row>
      <xdr:rowOff>28575</xdr:rowOff>
    </xdr:from>
    <xdr:to>
      <xdr:col>10</xdr:col>
      <xdr:colOff>447675</xdr:colOff>
      <xdr:row>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79</xdr:row>
      <xdr:rowOff>85725</xdr:rowOff>
    </xdr:from>
    <xdr:to>
      <xdr:col>10</xdr:col>
      <xdr:colOff>400049</xdr:colOff>
      <xdr:row>96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142</xdr:row>
      <xdr:rowOff>76199</xdr:rowOff>
    </xdr:from>
    <xdr:to>
      <xdr:col>4</xdr:col>
      <xdr:colOff>361949</xdr:colOff>
      <xdr:row>160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142</xdr:row>
      <xdr:rowOff>47625</xdr:rowOff>
    </xdr:from>
    <xdr:to>
      <xdr:col>10</xdr:col>
      <xdr:colOff>219074</xdr:colOff>
      <xdr:row>160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287</xdr:row>
      <xdr:rowOff>104775</xdr:rowOff>
    </xdr:from>
    <xdr:to>
      <xdr:col>10</xdr:col>
      <xdr:colOff>323849</xdr:colOff>
      <xdr:row>305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213</xdr:row>
      <xdr:rowOff>133350</xdr:rowOff>
    </xdr:from>
    <xdr:to>
      <xdr:col>9</xdr:col>
      <xdr:colOff>133349</xdr:colOff>
      <xdr:row>230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238</xdr:row>
      <xdr:rowOff>57150</xdr:rowOff>
    </xdr:from>
    <xdr:to>
      <xdr:col>8</xdr:col>
      <xdr:colOff>723900</xdr:colOff>
      <xdr:row>256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5"/>
  <sheetViews>
    <sheetView tabSelected="1" topLeftCell="A309" workbookViewId="0">
      <selection activeCell="E353" sqref="E353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130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20000</v>
      </c>
      <c r="F3" s="138">
        <v>90</v>
      </c>
      <c r="G3" s="21">
        <v>8</v>
      </c>
      <c r="H3" s="63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38">
        <v>130</v>
      </c>
      <c r="G4" s="21">
        <v>8</v>
      </c>
      <c r="H4" s="60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38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72">
        <v>0.25</v>
      </c>
      <c r="C6" s="172">
        <v>0.25</v>
      </c>
      <c r="D6" s="172">
        <v>0.15</v>
      </c>
      <c r="E6" s="172">
        <v>0.17</v>
      </c>
      <c r="F6" s="173">
        <v>-0.03</v>
      </c>
    </row>
    <row r="7" spans="1:12" x14ac:dyDescent="0.25">
      <c r="H7" s="200" t="s">
        <v>160</v>
      </c>
      <c r="I7" s="200"/>
      <c r="J7" s="200"/>
      <c r="K7" s="200"/>
    </row>
    <row r="8" spans="1:12" x14ac:dyDescent="0.25">
      <c r="H8" s="204" t="s">
        <v>159</v>
      </c>
      <c r="I8" s="204"/>
      <c r="J8" s="204"/>
      <c r="K8" s="204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5" t="s">
        <v>146</v>
      </c>
      <c r="I9" s="143"/>
      <c r="J9" s="95" t="s">
        <v>147</v>
      </c>
      <c r="K9" s="95" t="s">
        <v>148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5" t="s">
        <v>130</v>
      </c>
      <c r="I10" s="95" t="s">
        <v>145</v>
      </c>
      <c r="J10" s="95" t="s">
        <v>130</v>
      </c>
      <c r="K10" s="95" t="s">
        <v>149</v>
      </c>
    </row>
    <row r="11" spans="1:12" x14ac:dyDescent="0.25">
      <c r="H11" s="144">
        <v>15</v>
      </c>
      <c r="I11" s="145">
        <v>1000</v>
      </c>
      <c r="J11" s="144">
        <f>(I11/299792)*1.5*1000+H11</f>
        <v>20.003469071889842</v>
      </c>
      <c r="K11" s="150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44">
        <v>15</v>
      </c>
      <c r="I12" s="145">
        <v>2000</v>
      </c>
      <c r="J12" s="144">
        <f>(I12/299792)*1.5*1000+H12</f>
        <v>25.006938143779685</v>
      </c>
      <c r="K12" s="150">
        <f>0.01*0.4%</f>
        <v>4.0000000000000003E-5</v>
      </c>
      <c r="L12" s="94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H13" s="144">
        <v>15</v>
      </c>
      <c r="I13" s="145">
        <v>5000</v>
      </c>
      <c r="J13" s="144">
        <f>(I13/299792)*1.5*1000+H13</f>
        <v>40.017345359449216</v>
      </c>
      <c r="K13" s="150">
        <f>0.01*2.5%</f>
        <v>2.5000000000000001E-4</v>
      </c>
      <c r="L13" s="94">
        <f t="shared" si="0"/>
        <v>0.29226684793198021</v>
      </c>
    </row>
    <row r="14" spans="1:12" x14ac:dyDescent="0.25">
      <c r="A14" s="1" t="s">
        <v>173</v>
      </c>
      <c r="B14" s="1" t="s">
        <v>23</v>
      </c>
      <c r="C14" s="1" t="s">
        <v>25</v>
      </c>
      <c r="D14" s="1" t="s">
        <v>60</v>
      </c>
      <c r="E14" s="1" t="s">
        <v>42</v>
      </c>
      <c r="H14" s="144">
        <v>15</v>
      </c>
      <c r="I14" s="145">
        <v>10000</v>
      </c>
      <c r="J14" s="144">
        <f>(I14/299792)*1.5*1000+H14</f>
        <v>65.034690718898432</v>
      </c>
      <c r="K14" s="150">
        <f>0.01*10%</f>
        <v>1E-3</v>
      </c>
      <c r="L14" s="94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H15" s="144">
        <v>15</v>
      </c>
      <c r="I15" s="145">
        <v>20000</v>
      </c>
      <c r="J15" s="144">
        <f t="shared" ref="J15:J28" si="1">(I15/299792)*1.5*1000+H15</f>
        <v>115.06938143779686</v>
      </c>
      <c r="K15" s="150">
        <f>0.01*50%</f>
        <v>5.0000000000000001E-3</v>
      </c>
      <c r="L15" s="94">
        <f t="shared" si="0"/>
        <v>0.94969054155194321</v>
      </c>
    </row>
    <row r="16" spans="1:12" x14ac:dyDescent="0.25">
      <c r="H16" s="144">
        <v>15</v>
      </c>
      <c r="I16" s="145">
        <v>40000</v>
      </c>
      <c r="J16" s="144">
        <f t="shared" si="1"/>
        <v>215.13876287559373</v>
      </c>
      <c r="K16" s="150">
        <f>0.01*100%</f>
        <v>0.01</v>
      </c>
      <c r="L16" s="94">
        <f t="shared" si="0"/>
        <v>0.98734252960964441</v>
      </c>
    </row>
    <row r="17" spans="1:12" x14ac:dyDescent="0.25">
      <c r="A17" s="1" t="s">
        <v>174</v>
      </c>
      <c r="B17" s="1" t="s">
        <v>51</v>
      </c>
      <c r="C17" s="1" t="s">
        <v>52</v>
      </c>
      <c r="D17" s="1" t="s">
        <v>36</v>
      </c>
      <c r="E17" s="1" t="s">
        <v>33</v>
      </c>
      <c r="F17" s="95" t="s">
        <v>128</v>
      </c>
      <c r="H17" s="146">
        <v>25</v>
      </c>
      <c r="I17" s="147">
        <v>1000</v>
      </c>
      <c r="J17" s="146">
        <f t="shared" si="1"/>
        <v>30.003469071889842</v>
      </c>
      <c r="K17" s="150">
        <f>0.1*0.1%</f>
        <v>1E-4</v>
      </c>
      <c r="L17" s="94">
        <f t="shared" si="0"/>
        <v>0.99614676697572757</v>
      </c>
    </row>
    <row r="18" spans="1:12" x14ac:dyDescent="0.25">
      <c r="A18" s="46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5" t="s">
        <v>127</v>
      </c>
      <c r="H18" s="146">
        <v>25</v>
      </c>
      <c r="I18" s="147">
        <v>2000</v>
      </c>
      <c r="J18" s="146">
        <f t="shared" si="1"/>
        <v>35.006938143779685</v>
      </c>
      <c r="K18" s="150">
        <f>0.1*0.4%</f>
        <v>4.0000000000000002E-4</v>
      </c>
      <c r="L18" s="94">
        <f t="shared" si="0"/>
        <v>-0.99903622731503772</v>
      </c>
    </row>
    <row r="19" spans="1:12" x14ac:dyDescent="0.25">
      <c r="A19" s="47">
        <v>36</v>
      </c>
      <c r="B19" s="34">
        <v>210</v>
      </c>
      <c r="C19" s="57">
        <v>2000</v>
      </c>
      <c r="D19" s="34">
        <v>3</v>
      </c>
      <c r="E19" s="33">
        <v>0.5</v>
      </c>
      <c r="F19" s="129">
        <v>7</v>
      </c>
      <c r="H19" s="146">
        <v>25</v>
      </c>
      <c r="I19" s="147">
        <v>5000</v>
      </c>
      <c r="J19" s="146">
        <f t="shared" si="1"/>
        <v>50.017345359449216</v>
      </c>
      <c r="K19" s="150">
        <f>0.1*2.5%</f>
        <v>2.5000000000000005E-3</v>
      </c>
      <c r="L19" s="94">
        <f t="shared" si="0"/>
        <v>0.29226684793198021</v>
      </c>
    </row>
    <row r="20" spans="1:12" s="94" customFormat="1" x14ac:dyDescent="0.25">
      <c r="B20"/>
      <c r="C20"/>
      <c r="D20"/>
      <c r="E20"/>
      <c r="F20"/>
      <c r="H20" s="146">
        <v>25</v>
      </c>
      <c r="I20" s="147">
        <v>10000</v>
      </c>
      <c r="J20" s="146">
        <f t="shared" si="1"/>
        <v>75.034690718898432</v>
      </c>
      <c r="K20" s="150">
        <f>0.1*10%</f>
        <v>1.0000000000000002E-2</v>
      </c>
      <c r="L20" s="94">
        <f t="shared" si="0"/>
        <v>0.80382424942644648</v>
      </c>
    </row>
    <row r="21" spans="1:12" s="94" customFormat="1" x14ac:dyDescent="0.25">
      <c r="B21"/>
      <c r="C21" s="95" t="s">
        <v>156</v>
      </c>
      <c r="D21" s="95" t="s">
        <v>131</v>
      </c>
      <c r="E21" s="167" t="s">
        <v>163</v>
      </c>
      <c r="F21" s="167" t="s">
        <v>164</v>
      </c>
      <c r="H21" s="146">
        <v>25</v>
      </c>
      <c r="I21" s="147">
        <v>20000</v>
      </c>
      <c r="J21" s="146">
        <f t="shared" si="1"/>
        <v>125.06938143779686</v>
      </c>
      <c r="K21" s="150">
        <f>0.1*50%</f>
        <v>0.05</v>
      </c>
      <c r="L21" s="94">
        <f t="shared" si="0"/>
        <v>0.94969054155194321</v>
      </c>
    </row>
    <row r="22" spans="1:12" s="94" customFormat="1" x14ac:dyDescent="0.25">
      <c r="A22" s="1" t="s">
        <v>75</v>
      </c>
      <c r="B22" s="1" t="s">
        <v>76</v>
      </c>
      <c r="C22" s="132" t="s">
        <v>155</v>
      </c>
      <c r="D22" s="95" t="s">
        <v>157</v>
      </c>
      <c r="E22" s="167" t="s">
        <v>146</v>
      </c>
      <c r="F22" s="167" t="s">
        <v>132</v>
      </c>
      <c r="H22" s="146">
        <v>25</v>
      </c>
      <c r="I22" s="147">
        <v>40000</v>
      </c>
      <c r="J22" s="146">
        <f t="shared" si="1"/>
        <v>225.13876287559373</v>
      </c>
      <c r="K22" s="150">
        <f>0.1*100%</f>
        <v>0.1</v>
      </c>
      <c r="L22" s="94">
        <f t="shared" si="0"/>
        <v>0.98734252960964441</v>
      </c>
    </row>
    <row r="23" spans="1:12" s="94" customFormat="1" x14ac:dyDescent="0.25">
      <c r="A23" s="1" t="s">
        <v>59</v>
      </c>
      <c r="B23" s="1" t="s">
        <v>59</v>
      </c>
      <c r="C23" s="132" t="s">
        <v>133</v>
      </c>
      <c r="D23" s="95" t="s">
        <v>158</v>
      </c>
      <c r="E23" s="167" t="s">
        <v>130</v>
      </c>
      <c r="F23" s="167" t="s">
        <v>130</v>
      </c>
      <c r="H23" s="148">
        <v>45</v>
      </c>
      <c r="I23" s="149">
        <v>1000</v>
      </c>
      <c r="J23" s="148">
        <f t="shared" si="1"/>
        <v>50.003469071889846</v>
      </c>
      <c r="K23" s="150">
        <f>0.9*0.1%</f>
        <v>9.0000000000000008E-4</v>
      </c>
      <c r="L23" s="94">
        <f t="shared" si="0"/>
        <v>0.99614676697572757</v>
      </c>
    </row>
    <row r="24" spans="1:12" s="94" customFormat="1" x14ac:dyDescent="0.25">
      <c r="A24" s="20">
        <v>0.1</v>
      </c>
      <c r="B24" s="20">
        <v>0.9</v>
      </c>
      <c r="C24" s="135">
        <f>9/1000</f>
        <v>8.9999999999999993E-3</v>
      </c>
      <c r="D24" s="100">
        <v>0.01</v>
      </c>
      <c r="E24" s="175">
        <v>15</v>
      </c>
      <c r="F24" s="174">
        <f>(10000/299792)*1000</f>
        <v>33.356460479265621</v>
      </c>
      <c r="H24" s="148">
        <v>45</v>
      </c>
      <c r="I24" s="149">
        <v>2000</v>
      </c>
      <c r="J24" s="148">
        <f t="shared" si="1"/>
        <v>55.006938143779685</v>
      </c>
      <c r="K24" s="150">
        <f>0.9*0.4%</f>
        <v>3.6000000000000003E-3</v>
      </c>
      <c r="L24" s="94">
        <f t="shared" si="0"/>
        <v>-0.99903622731503772</v>
      </c>
    </row>
    <row r="25" spans="1:12" s="94" customFormat="1" x14ac:dyDescent="0.25">
      <c r="B25"/>
      <c r="C25"/>
      <c r="D25"/>
      <c r="H25" s="148">
        <v>45</v>
      </c>
      <c r="I25" s="149">
        <v>5000</v>
      </c>
      <c r="J25" s="148">
        <f t="shared" si="1"/>
        <v>70.017345359449223</v>
      </c>
      <c r="K25" s="150">
        <f>0.9*2.5%</f>
        <v>2.2500000000000003E-2</v>
      </c>
      <c r="L25" s="94">
        <f t="shared" si="0"/>
        <v>0.29226684793198021</v>
      </c>
    </row>
    <row r="26" spans="1:12" s="94" customFormat="1" x14ac:dyDescent="0.25">
      <c r="B26"/>
      <c r="C26"/>
      <c r="D26"/>
      <c r="E26"/>
      <c r="F26" s="95"/>
      <c r="H26" s="148">
        <v>45</v>
      </c>
      <c r="I26" s="149">
        <v>10000</v>
      </c>
      <c r="J26" s="148">
        <f t="shared" si="1"/>
        <v>95.034690718898432</v>
      </c>
      <c r="K26" s="150">
        <f>0.9*10%</f>
        <v>9.0000000000000011E-2</v>
      </c>
      <c r="L26" s="94">
        <f t="shared" si="0"/>
        <v>0.80382424942644648</v>
      </c>
    </row>
    <row r="27" spans="1:12" s="94" customFormat="1" x14ac:dyDescent="0.25">
      <c r="B27"/>
      <c r="C27"/>
      <c r="D27"/>
      <c r="E27"/>
      <c r="F27" s="95"/>
      <c r="H27" s="148">
        <v>45</v>
      </c>
      <c r="I27" s="149">
        <v>20000</v>
      </c>
      <c r="J27" s="148">
        <f t="shared" si="1"/>
        <v>145.06938143779686</v>
      </c>
      <c r="K27" s="150">
        <f>0.9*50%</f>
        <v>0.45</v>
      </c>
      <c r="L27" s="94">
        <f t="shared" si="0"/>
        <v>0.94969054155194321</v>
      </c>
    </row>
    <row r="28" spans="1:12" s="94" customFormat="1" x14ac:dyDescent="0.25">
      <c r="B28"/>
      <c r="C28"/>
      <c r="D28"/>
      <c r="E28"/>
      <c r="F28" s="187"/>
      <c r="H28" s="148">
        <v>45</v>
      </c>
      <c r="I28" s="149">
        <v>40000</v>
      </c>
      <c r="J28" s="148">
        <f t="shared" si="1"/>
        <v>245.13876287559373</v>
      </c>
      <c r="K28" s="150">
        <f>0.9*100%</f>
        <v>0.9</v>
      </c>
      <c r="L28" s="94">
        <f t="shared" si="0"/>
        <v>0.98734252960964441</v>
      </c>
    </row>
    <row r="29" spans="1:12" s="94" customFormat="1" x14ac:dyDescent="0.25">
      <c r="B29"/>
      <c r="C29"/>
      <c r="D29"/>
      <c r="E29"/>
    </row>
    <row r="30" spans="1:12" s="94" customFormat="1" x14ac:dyDescent="0.25">
      <c r="A30" s="11" t="s">
        <v>122</v>
      </c>
    </row>
    <row r="31" spans="1:12" s="94" customFormat="1" x14ac:dyDescent="0.25"/>
    <row r="32" spans="1:12" s="94" customFormat="1" x14ac:dyDescent="0.25">
      <c r="A32" s="95" t="s">
        <v>7</v>
      </c>
      <c r="B32" s="95" t="s">
        <v>72</v>
      </c>
      <c r="C32" s="95" t="s">
        <v>35</v>
      </c>
    </row>
    <row r="33" spans="1:3" s="94" customFormat="1" x14ac:dyDescent="0.25">
      <c r="A33" s="94">
        <v>0</v>
      </c>
      <c r="B33" s="90">
        <f t="shared" ref="B33:B48" si="2">curChainSize+A33*curMaxBlocksize*(secondsPerYear/secondsPerBlock)/KBperGB</f>
        <v>210</v>
      </c>
      <c r="C33" s="88">
        <f xml:space="preserve"> utxoSize</f>
        <v>3</v>
      </c>
    </row>
    <row r="34" spans="1:3" s="94" customFormat="1" x14ac:dyDescent="0.25">
      <c r="A34" s="94">
        <v>1</v>
      </c>
      <c r="B34" s="90">
        <f t="shared" si="2"/>
        <v>315.12</v>
      </c>
      <c r="C34" s="90">
        <f xml:space="preserve"> C33 + MIN(C33*utxoGrowth, curMaxBlocksize*secondsPerYear/secondsPerBlock/KBperGB)</f>
        <v>4.5</v>
      </c>
    </row>
    <row r="35" spans="1:3" s="94" customFormat="1" x14ac:dyDescent="0.25">
      <c r="A35" s="94">
        <v>2</v>
      </c>
      <c r="B35" s="90">
        <f t="shared" si="2"/>
        <v>420.24</v>
      </c>
      <c r="C35" s="90">
        <f xml:space="preserve"> C34 + MIN(C34*utxoGrowth, curMaxBlocksize*secondsPerYear/secondsPerBlock/KBperGB)</f>
        <v>6.75</v>
      </c>
    </row>
    <row r="36" spans="1:3" s="94" customFormat="1" x14ac:dyDescent="0.25">
      <c r="A36" s="94">
        <v>3</v>
      </c>
      <c r="B36" s="90">
        <f t="shared" si="2"/>
        <v>525.36</v>
      </c>
      <c r="C36" s="90">
        <f t="shared" ref="C36:C48" si="3" xml:space="preserve"> C35 + MIN(C35*utxoGrowth, curMaxBlocksize*secondsPerYear/secondsPerBlock/KBperGB)</f>
        <v>10.125</v>
      </c>
    </row>
    <row r="37" spans="1:3" s="94" customFormat="1" x14ac:dyDescent="0.25">
      <c r="A37" s="94">
        <v>4</v>
      </c>
      <c r="B37" s="90">
        <f t="shared" si="2"/>
        <v>630.48</v>
      </c>
      <c r="C37" s="90">
        <f t="shared" si="3"/>
        <v>15.1875</v>
      </c>
    </row>
    <row r="38" spans="1:3" s="94" customFormat="1" x14ac:dyDescent="0.25">
      <c r="A38" s="94">
        <v>5</v>
      </c>
      <c r="B38" s="90">
        <f t="shared" si="2"/>
        <v>735.6</v>
      </c>
      <c r="C38" s="90">
        <f t="shared" si="3"/>
        <v>22.78125</v>
      </c>
    </row>
    <row r="39" spans="1:3" s="94" customFormat="1" x14ac:dyDescent="0.25">
      <c r="A39" s="94">
        <v>6</v>
      </c>
      <c r="B39" s="90">
        <f t="shared" si="2"/>
        <v>840.72</v>
      </c>
      <c r="C39" s="90">
        <f t="shared" si="3"/>
        <v>34.171875</v>
      </c>
    </row>
    <row r="40" spans="1:3" s="94" customFormat="1" x14ac:dyDescent="0.25">
      <c r="A40" s="94">
        <v>7</v>
      </c>
      <c r="B40" s="90">
        <f t="shared" si="2"/>
        <v>945.84</v>
      </c>
      <c r="C40" s="90">
        <f t="shared" si="3"/>
        <v>51.2578125</v>
      </c>
    </row>
    <row r="41" spans="1:3" s="94" customFormat="1" x14ac:dyDescent="0.25">
      <c r="A41" s="94">
        <v>8</v>
      </c>
      <c r="B41" s="90">
        <f t="shared" si="2"/>
        <v>1050.96</v>
      </c>
      <c r="C41" s="90">
        <f t="shared" si="3"/>
        <v>76.88671875</v>
      </c>
    </row>
    <row r="42" spans="1:3" s="94" customFormat="1" x14ac:dyDescent="0.25">
      <c r="A42" s="94">
        <v>9</v>
      </c>
      <c r="B42" s="90">
        <f t="shared" si="2"/>
        <v>1156.08</v>
      </c>
      <c r="C42" s="90">
        <f t="shared" si="3"/>
        <v>115.330078125</v>
      </c>
    </row>
    <row r="43" spans="1:3" s="94" customFormat="1" x14ac:dyDescent="0.25">
      <c r="A43" s="94">
        <v>10</v>
      </c>
      <c r="B43" s="90">
        <f t="shared" si="2"/>
        <v>1261.2</v>
      </c>
      <c r="C43" s="90">
        <f t="shared" si="3"/>
        <v>172.9951171875</v>
      </c>
    </row>
    <row r="44" spans="1:3" s="94" customFormat="1" x14ac:dyDescent="0.25">
      <c r="A44" s="94">
        <v>11</v>
      </c>
      <c r="B44" s="90">
        <f t="shared" si="2"/>
        <v>1366.32</v>
      </c>
      <c r="C44" s="90">
        <f t="shared" si="3"/>
        <v>259.49267578125</v>
      </c>
    </row>
    <row r="45" spans="1:3" s="94" customFormat="1" x14ac:dyDescent="0.25">
      <c r="A45" s="94">
        <v>12</v>
      </c>
      <c r="B45" s="90">
        <f t="shared" si="2"/>
        <v>1471.44</v>
      </c>
      <c r="C45" s="90">
        <f t="shared" si="3"/>
        <v>364.61267578125</v>
      </c>
    </row>
    <row r="46" spans="1:3" s="94" customFormat="1" x14ac:dyDescent="0.25">
      <c r="A46" s="94">
        <v>13</v>
      </c>
      <c r="B46" s="90">
        <f t="shared" si="2"/>
        <v>1576.56</v>
      </c>
      <c r="C46" s="90">
        <f t="shared" si="3"/>
        <v>469.73267578125001</v>
      </c>
    </row>
    <row r="47" spans="1:3" s="94" customFormat="1" x14ac:dyDescent="0.25">
      <c r="A47" s="94">
        <v>14</v>
      </c>
      <c r="B47" s="90">
        <f t="shared" si="2"/>
        <v>1681.68</v>
      </c>
      <c r="C47" s="90">
        <f t="shared" si="3"/>
        <v>574.85267578125001</v>
      </c>
    </row>
    <row r="48" spans="1:3" s="94" customFormat="1" x14ac:dyDescent="0.25">
      <c r="A48" s="94">
        <v>15</v>
      </c>
      <c r="B48" s="90">
        <f t="shared" si="2"/>
        <v>1786.8</v>
      </c>
      <c r="C48" s="90">
        <f t="shared" si="3"/>
        <v>679.97267578125002</v>
      </c>
    </row>
    <row r="49" spans="1:11" s="94" customFormat="1" x14ac:dyDescent="0.25"/>
    <row r="50" spans="1:11" x14ac:dyDescent="0.25">
      <c r="A50" s="11" t="s">
        <v>5</v>
      </c>
    </row>
    <row r="51" spans="1:11" x14ac:dyDescent="0.25">
      <c r="A51" s="11"/>
      <c r="G51" s="38" t="s">
        <v>76</v>
      </c>
      <c r="H51" s="38" t="s">
        <v>75</v>
      </c>
    </row>
    <row r="52" spans="1:11" x14ac:dyDescent="0.25">
      <c r="A52" s="2" t="s">
        <v>6</v>
      </c>
      <c r="C52" s="38" t="s">
        <v>2</v>
      </c>
      <c r="D52" s="38" t="s">
        <v>3</v>
      </c>
      <c r="G52" s="38" t="s">
        <v>57</v>
      </c>
      <c r="H52" s="38" t="s">
        <v>57</v>
      </c>
    </row>
    <row r="53" spans="1:11" x14ac:dyDescent="0.25">
      <c r="A53" s="2" t="s">
        <v>80</v>
      </c>
      <c r="B53" s="124">
        <f>$B$5</f>
        <v>1</v>
      </c>
      <c r="C53" s="125">
        <f>$C$5</f>
        <v>128</v>
      </c>
      <c r="D53" s="125">
        <f>$D$5</f>
        <v>2</v>
      </c>
      <c r="E53" s="126">
        <f>$E$5</f>
        <v>200</v>
      </c>
      <c r="F53" s="139">
        <f>$F$5</f>
        <v>250</v>
      </c>
      <c r="G53" s="81">
        <f>$G$5</f>
        <v>8</v>
      </c>
      <c r="H53" s="81">
        <f>$H$5</f>
        <v>0</v>
      </c>
      <c r="I53" s="127">
        <f>$I$5</f>
        <v>7</v>
      </c>
      <c r="J53" s="128">
        <f>$J$5</f>
        <v>0.75</v>
      </c>
      <c r="K53" s="128">
        <f>$K$5</f>
        <v>0.1</v>
      </c>
    </row>
    <row r="55" spans="1:11" x14ac:dyDescent="0.25">
      <c r="B55" s="1" t="s">
        <v>31</v>
      </c>
    </row>
    <row r="56" spans="1:11" x14ac:dyDescent="0.25">
      <c r="A56" s="4" t="s">
        <v>7</v>
      </c>
      <c r="B56" s="1" t="s">
        <v>72</v>
      </c>
      <c r="C56" s="1" t="s">
        <v>14</v>
      </c>
      <c r="D56" s="1" t="s">
        <v>17</v>
      </c>
      <c r="E56" s="1" t="s">
        <v>20</v>
      </c>
      <c r="F56" s="1"/>
    </row>
    <row r="57" spans="1:11" x14ac:dyDescent="0.25">
      <c r="A57">
        <v>0</v>
      </c>
      <c r="B57" s="7">
        <f t="shared" ref="B57:B72" si="4">bandwidth1*resourcePercent*mbToGB*secondsPerYear*POWER(1+bandwidthGrowth,A57)*syncTime1/365</f>
        <v>56.7</v>
      </c>
      <c r="C57" s="8">
        <f t="shared" ref="C57:C72" si="5">bandwidth1*resourcePercent*LN(1+bandwidthGrowth)*mbToGB*secondsPerYear*POWER(1+bandwidthGrowth,A57)*syncTime1/365</f>
        <v>12.652239359515697</v>
      </c>
      <c r="D57" s="9">
        <f t="shared" ref="D57:D72" si="6">C57*(secondsPerBlock/secondsPerYear)*KBperGB</f>
        <v>240.71992693142499</v>
      </c>
      <c r="E57" s="10">
        <f t="shared" ref="E57:E72" si="7">D57*1000/(secondsPerBlock*avgTrSize)</f>
        <v>0.8446313225664035</v>
      </c>
      <c r="F57" s="32"/>
    </row>
    <row r="58" spans="1:11" x14ac:dyDescent="0.25">
      <c r="A58">
        <v>1</v>
      </c>
      <c r="B58" s="7">
        <f t="shared" si="4"/>
        <v>70.875</v>
      </c>
      <c r="C58" s="8">
        <f t="shared" si="5"/>
        <v>15.815299199394618</v>
      </c>
      <c r="D58" s="9">
        <f t="shared" si="6"/>
        <v>300.89990866428116</v>
      </c>
      <c r="E58" s="10">
        <f t="shared" si="7"/>
        <v>1.0557891532080039</v>
      </c>
      <c r="F58" s="7"/>
    </row>
    <row r="59" spans="1:11" x14ac:dyDescent="0.25">
      <c r="A59">
        <v>2</v>
      </c>
      <c r="B59" s="7">
        <f t="shared" si="4"/>
        <v>88.59375</v>
      </c>
      <c r="C59" s="8">
        <f t="shared" si="5"/>
        <v>19.769123999243277</v>
      </c>
      <c r="D59" s="9">
        <f t="shared" si="6"/>
        <v>376.12488583035162</v>
      </c>
      <c r="E59" s="10">
        <f t="shared" si="7"/>
        <v>1.3197364415100057</v>
      </c>
      <c r="F59" s="7"/>
    </row>
    <row r="60" spans="1:11" x14ac:dyDescent="0.25">
      <c r="A60">
        <v>3</v>
      </c>
      <c r="B60" s="7">
        <f t="shared" si="4"/>
        <v>110.7421875</v>
      </c>
      <c r="C60" s="8">
        <f t="shared" si="5"/>
        <v>24.711404999054093</v>
      </c>
      <c r="D60" s="9">
        <f t="shared" si="6"/>
        <v>470.15610728793939</v>
      </c>
      <c r="E60" s="10">
        <f t="shared" si="7"/>
        <v>1.6496705518875068</v>
      </c>
      <c r="F60" s="7"/>
    </row>
    <row r="61" spans="1:11" x14ac:dyDescent="0.25">
      <c r="A61">
        <v>4</v>
      </c>
      <c r="B61" s="7">
        <f t="shared" si="4"/>
        <v>138.427734375</v>
      </c>
      <c r="C61" s="8">
        <f t="shared" si="5"/>
        <v>30.88925624881762</v>
      </c>
      <c r="D61" s="9">
        <f t="shared" si="6"/>
        <v>587.69513410992431</v>
      </c>
      <c r="E61" s="10">
        <f t="shared" si="7"/>
        <v>2.0620881898593835</v>
      </c>
      <c r="F61" s="7"/>
    </row>
    <row r="62" spans="1:11" x14ac:dyDescent="0.25">
      <c r="A62">
        <v>5</v>
      </c>
      <c r="B62" s="7">
        <f t="shared" si="4"/>
        <v>173.03466796875</v>
      </c>
      <c r="C62" s="8">
        <f t="shared" si="5"/>
        <v>38.611570311022021</v>
      </c>
      <c r="D62" s="9">
        <f t="shared" si="6"/>
        <v>734.61891763740527</v>
      </c>
      <c r="E62" s="10">
        <f t="shared" si="7"/>
        <v>2.5776102373242287</v>
      </c>
      <c r="F62" s="7"/>
    </row>
    <row r="63" spans="1:11" x14ac:dyDescent="0.25">
      <c r="A63">
        <v>6</v>
      </c>
      <c r="B63" s="14">
        <f t="shared" si="4"/>
        <v>216.2933349609375</v>
      </c>
      <c r="C63" s="8">
        <f t="shared" si="5"/>
        <v>48.264462888777523</v>
      </c>
      <c r="D63" s="9">
        <f t="shared" si="6"/>
        <v>918.27364704675665</v>
      </c>
      <c r="E63" s="10">
        <f t="shared" si="7"/>
        <v>3.2220127966552865</v>
      </c>
      <c r="F63" s="7"/>
    </row>
    <row r="64" spans="1:11" x14ac:dyDescent="0.25">
      <c r="A64">
        <v>7</v>
      </c>
      <c r="B64" s="7">
        <f t="shared" si="4"/>
        <v>270.36666870117187</v>
      </c>
      <c r="C64" s="8">
        <f t="shared" si="5"/>
        <v>60.330578610971912</v>
      </c>
      <c r="D64" s="9">
        <f t="shared" si="6"/>
        <v>1147.8420588084459</v>
      </c>
      <c r="E64" s="10">
        <f t="shared" si="7"/>
        <v>4.0275159958191082</v>
      </c>
      <c r="F64" s="7"/>
    </row>
    <row r="65" spans="1:11" x14ac:dyDescent="0.25">
      <c r="A65">
        <v>8</v>
      </c>
      <c r="B65" s="7">
        <f t="shared" si="4"/>
        <v>337.95833587646484</v>
      </c>
      <c r="C65" s="8">
        <f t="shared" si="5"/>
        <v>75.413223263714883</v>
      </c>
      <c r="D65" s="9">
        <f t="shared" si="6"/>
        <v>1434.8025735105573</v>
      </c>
      <c r="E65" s="10">
        <f t="shared" si="7"/>
        <v>5.0343949947738844</v>
      </c>
      <c r="F65" s="7"/>
    </row>
    <row r="66" spans="1:11" x14ac:dyDescent="0.25">
      <c r="A66">
        <v>9</v>
      </c>
      <c r="B66" s="7">
        <f t="shared" si="4"/>
        <v>422.44791984558105</v>
      </c>
      <c r="C66" s="8">
        <f t="shared" si="5"/>
        <v>94.266529079643618</v>
      </c>
      <c r="D66" s="9">
        <f t="shared" si="6"/>
        <v>1793.5032168881967</v>
      </c>
      <c r="E66" s="10">
        <f t="shared" si="7"/>
        <v>6.2929937434673571</v>
      </c>
      <c r="F66" s="7"/>
    </row>
    <row r="67" spans="1:11" x14ac:dyDescent="0.25">
      <c r="A67">
        <v>10</v>
      </c>
      <c r="B67" s="7">
        <f t="shared" si="4"/>
        <v>528.05989980697632</v>
      </c>
      <c r="C67" s="8">
        <f t="shared" si="5"/>
        <v>117.83316134955453</v>
      </c>
      <c r="D67" s="9">
        <f t="shared" si="6"/>
        <v>2241.8790211102464</v>
      </c>
      <c r="E67" s="10">
        <f t="shared" si="7"/>
        <v>7.8662421793341979</v>
      </c>
      <c r="F67" s="7"/>
    </row>
    <row r="68" spans="1:11" x14ac:dyDescent="0.25">
      <c r="A68">
        <v>11</v>
      </c>
      <c r="B68" s="7">
        <f t="shared" si="4"/>
        <v>660.0748747587204</v>
      </c>
      <c r="C68" s="8">
        <f t="shared" si="5"/>
        <v>147.29145168694313</v>
      </c>
      <c r="D68" s="9">
        <f t="shared" si="6"/>
        <v>2802.348776387807</v>
      </c>
      <c r="E68" s="10">
        <f t="shared" si="7"/>
        <v>9.8328027241677436</v>
      </c>
      <c r="F68" s="7"/>
    </row>
    <row r="69" spans="1:11" x14ac:dyDescent="0.25">
      <c r="A69">
        <v>12</v>
      </c>
      <c r="B69" s="7">
        <f t="shared" si="4"/>
        <v>825.0935934484005</v>
      </c>
      <c r="C69" s="8">
        <f t="shared" si="5"/>
        <v>184.11431460867891</v>
      </c>
      <c r="D69" s="9">
        <f t="shared" si="6"/>
        <v>3502.9359704847589</v>
      </c>
      <c r="E69" s="10">
        <f t="shared" si="7"/>
        <v>12.291003405209679</v>
      </c>
      <c r="F69" s="7"/>
    </row>
    <row r="70" spans="1:11" x14ac:dyDescent="0.25">
      <c r="A70">
        <v>13</v>
      </c>
      <c r="B70" s="7">
        <f t="shared" si="4"/>
        <v>1031.3669918105006</v>
      </c>
      <c r="C70" s="8">
        <f t="shared" si="5"/>
        <v>230.14289326084864</v>
      </c>
      <c r="D70" s="9">
        <f t="shared" si="6"/>
        <v>4378.6699631059482</v>
      </c>
      <c r="E70" s="10">
        <f t="shared" si="7"/>
        <v>15.363754256512101</v>
      </c>
      <c r="F70" s="7"/>
    </row>
    <row r="71" spans="1:11" x14ac:dyDescent="0.25">
      <c r="A71">
        <v>14</v>
      </c>
      <c r="B71" s="7">
        <f t="shared" si="4"/>
        <v>1289.2087397631258</v>
      </c>
      <c r="C71" s="8">
        <f t="shared" si="5"/>
        <v>287.67861657606079</v>
      </c>
      <c r="D71" s="9">
        <f t="shared" si="6"/>
        <v>5473.3374538824364</v>
      </c>
      <c r="E71" s="10">
        <f t="shared" si="7"/>
        <v>19.204692820640126</v>
      </c>
      <c r="F71" s="7"/>
    </row>
    <row r="72" spans="1:11" x14ac:dyDescent="0.25">
      <c r="A72">
        <v>15</v>
      </c>
      <c r="B72" s="7">
        <f t="shared" si="4"/>
        <v>1611.5109247039072</v>
      </c>
      <c r="C72" s="8">
        <f t="shared" si="5"/>
        <v>359.59827072007602</v>
      </c>
      <c r="D72" s="9">
        <f t="shared" si="6"/>
        <v>6841.6718173530453</v>
      </c>
      <c r="E72" s="10">
        <f t="shared" si="7"/>
        <v>24.005866025800159</v>
      </c>
      <c r="F72" s="7"/>
    </row>
    <row r="73" spans="1:11" x14ac:dyDescent="0.25">
      <c r="F73" s="32"/>
    </row>
    <row r="74" spans="1:11" x14ac:dyDescent="0.25">
      <c r="A74" s="11" t="s">
        <v>21</v>
      </c>
    </row>
    <row r="75" spans="1:11" x14ac:dyDescent="0.25">
      <c r="A75" s="11"/>
      <c r="B75" s="94"/>
      <c r="C75" s="94"/>
      <c r="D75" s="94"/>
      <c r="E75" s="94"/>
      <c r="F75" s="94"/>
      <c r="G75" s="102" t="s">
        <v>76</v>
      </c>
      <c r="H75" s="102" t="s">
        <v>75</v>
      </c>
      <c r="I75" s="94"/>
      <c r="J75" s="94"/>
      <c r="K75" s="94"/>
    </row>
    <row r="76" spans="1:11" x14ac:dyDescent="0.25">
      <c r="A76" s="96" t="s">
        <v>6</v>
      </c>
      <c r="B76" s="94"/>
      <c r="C76" s="102" t="s">
        <v>2</v>
      </c>
      <c r="D76" s="102" t="s">
        <v>3</v>
      </c>
      <c r="E76" s="94"/>
      <c r="F76" s="94"/>
      <c r="G76" s="102" t="s">
        <v>57</v>
      </c>
      <c r="H76" s="102" t="s">
        <v>57</v>
      </c>
      <c r="I76" s="94"/>
      <c r="J76" s="94"/>
      <c r="K76" s="94"/>
    </row>
    <row r="77" spans="1:11" x14ac:dyDescent="0.25">
      <c r="A77" s="96" t="s">
        <v>80</v>
      </c>
      <c r="B77" s="124">
        <f>$B$5</f>
        <v>1</v>
      </c>
      <c r="C77" s="125">
        <f>$C$5</f>
        <v>128</v>
      </c>
      <c r="D77" s="125">
        <f>$D$5</f>
        <v>2</v>
      </c>
      <c r="E77" s="126">
        <f>$E$5</f>
        <v>200</v>
      </c>
      <c r="F77" s="139">
        <f>$F$5</f>
        <v>250</v>
      </c>
      <c r="G77" s="81">
        <f>$G$5</f>
        <v>8</v>
      </c>
      <c r="H77" s="81">
        <f>$H$5</f>
        <v>0</v>
      </c>
      <c r="I77" s="127">
        <f>$I$5</f>
        <v>7</v>
      </c>
      <c r="J77" s="128">
        <f>$J$5</f>
        <v>0.75</v>
      </c>
      <c r="K77" s="128">
        <f>$K$5</f>
        <v>0.1</v>
      </c>
    </row>
    <row r="79" spans="1:11" x14ac:dyDescent="0.25">
      <c r="B79" s="1" t="s">
        <v>31</v>
      </c>
    </row>
    <row r="80" spans="1:11" x14ac:dyDescent="0.25">
      <c r="A80" s="4" t="s">
        <v>7</v>
      </c>
      <c r="B80" s="1" t="s">
        <v>28</v>
      </c>
      <c r="C80" s="1" t="s">
        <v>14</v>
      </c>
      <c r="D80" s="1" t="s">
        <v>17</v>
      </c>
      <c r="E80" s="1" t="s">
        <v>20</v>
      </c>
      <c r="F80" s="5"/>
    </row>
    <row r="81" spans="1:6" x14ac:dyDescent="0.25">
      <c r="A81">
        <v>0</v>
      </c>
      <c r="B81" s="12">
        <f t="shared" ref="B81:B96" si="8">throughput2*resourcePercent2*secondsPerYear*POWER(1+cpuGrowth,A81)*syncTime2/365/1000/1000</f>
        <v>90.72</v>
      </c>
      <c r="C81" s="24">
        <f t="shared" ref="C81:C96" si="9">throughput2*resourcePercent2*secondsPerYear*LN(1+cpuGrowth)*POWER(1+cpuGrowth,A81)*syncTime2/365/1000/1000</f>
        <v>14.243380092012782</v>
      </c>
      <c r="D81" s="13">
        <f t="shared" ref="D81:D96" si="10">E81*secondsPerBlock*avgTrSize/1000</f>
        <v>128.72156666107443</v>
      </c>
      <c r="E81" s="6">
        <f t="shared" ref="E81:E96" si="11">C81*1000*1000/secondsPerYear</f>
        <v>0.45165461986341898</v>
      </c>
      <c r="F81" s="3"/>
    </row>
    <row r="82" spans="1:6" x14ac:dyDescent="0.25">
      <c r="A82">
        <v>1</v>
      </c>
      <c r="B82" s="12">
        <f t="shared" si="8"/>
        <v>106.14239999999999</v>
      </c>
      <c r="C82" s="24">
        <f t="shared" si="9"/>
        <v>16.664754707654954</v>
      </c>
      <c r="D82" s="13">
        <f t="shared" si="10"/>
        <v>150.60423299345706</v>
      </c>
      <c r="E82" s="6">
        <f t="shared" si="11"/>
        <v>0.52843590524020023</v>
      </c>
      <c r="F82" s="3"/>
    </row>
    <row r="83" spans="1:6" x14ac:dyDescent="0.25">
      <c r="A83">
        <v>2</v>
      </c>
      <c r="B83" s="12">
        <f t="shared" si="8"/>
        <v>124.18660799999998</v>
      </c>
      <c r="C83" s="24">
        <f t="shared" si="9"/>
        <v>19.497763007956291</v>
      </c>
      <c r="D83" s="13">
        <f t="shared" si="10"/>
        <v>176.20695260234473</v>
      </c>
      <c r="E83" s="6">
        <f t="shared" si="11"/>
        <v>0.61827000913103414</v>
      </c>
      <c r="F83" s="3"/>
    </row>
    <row r="84" spans="1:6" x14ac:dyDescent="0.25">
      <c r="A84">
        <v>3</v>
      </c>
      <c r="B84" s="12">
        <f t="shared" si="8"/>
        <v>145.29833135999999</v>
      </c>
      <c r="C84" s="24">
        <f t="shared" si="9"/>
        <v>22.812382719308864</v>
      </c>
      <c r="D84" s="13">
        <f t="shared" si="10"/>
        <v>206.16213454474334</v>
      </c>
      <c r="E84" s="6">
        <f t="shared" si="11"/>
        <v>0.72337591068330998</v>
      </c>
      <c r="F84" s="3"/>
    </row>
    <row r="85" spans="1:6" x14ac:dyDescent="0.25">
      <c r="A85">
        <v>4</v>
      </c>
      <c r="B85" s="12">
        <f t="shared" si="8"/>
        <v>169.99904769119996</v>
      </c>
      <c r="C85" s="24">
        <f t="shared" si="9"/>
        <v>26.690487781591369</v>
      </c>
      <c r="D85" s="13">
        <f t="shared" si="10"/>
        <v>241.20969741734967</v>
      </c>
      <c r="E85" s="6">
        <f t="shared" si="11"/>
        <v>0.84634981549947252</v>
      </c>
      <c r="F85" s="3"/>
    </row>
    <row r="86" spans="1:6" x14ac:dyDescent="0.25">
      <c r="A86">
        <v>5</v>
      </c>
      <c r="B86" s="12">
        <f t="shared" si="8"/>
        <v>198.8988857987039</v>
      </c>
      <c r="C86" s="24">
        <f t="shared" si="9"/>
        <v>31.2278707044619</v>
      </c>
      <c r="D86" s="13">
        <f t="shared" si="10"/>
        <v>282.21534597829907</v>
      </c>
      <c r="E86" s="6">
        <f t="shared" si="11"/>
        <v>0.99022928413438294</v>
      </c>
      <c r="F86" s="3"/>
    </row>
    <row r="87" spans="1:6" x14ac:dyDescent="0.25">
      <c r="A87">
        <v>6</v>
      </c>
      <c r="B87" s="12">
        <f t="shared" si="8"/>
        <v>232.71169638448359</v>
      </c>
      <c r="C87" s="24">
        <f t="shared" si="9"/>
        <v>36.536608724220415</v>
      </c>
      <c r="D87" s="13">
        <f t="shared" si="10"/>
        <v>330.1919547946099</v>
      </c>
      <c r="E87" s="6">
        <f t="shared" si="11"/>
        <v>1.1585682624372278</v>
      </c>
      <c r="F87" s="3"/>
    </row>
    <row r="88" spans="1:6" x14ac:dyDescent="0.25">
      <c r="A88">
        <v>7</v>
      </c>
      <c r="B88" s="12">
        <f t="shared" si="8"/>
        <v>272.27268476984574</v>
      </c>
      <c r="C88" s="24">
        <f t="shared" si="9"/>
        <v>42.747832207337886</v>
      </c>
      <c r="D88" s="13">
        <f t="shared" si="10"/>
        <v>386.3245871096936</v>
      </c>
      <c r="E88" s="6">
        <f t="shared" si="11"/>
        <v>1.3555248670515565</v>
      </c>
      <c r="F88" s="3"/>
    </row>
    <row r="89" spans="1:6" x14ac:dyDescent="0.25">
      <c r="A89">
        <v>8</v>
      </c>
      <c r="B89" s="12">
        <f t="shared" si="8"/>
        <v>318.55904118071953</v>
      </c>
      <c r="C89" s="24">
        <f t="shared" si="9"/>
        <v>50.014963682585318</v>
      </c>
      <c r="D89" s="13">
        <f t="shared" si="10"/>
        <v>451.99976691834138</v>
      </c>
      <c r="E89" s="6">
        <f t="shared" si="11"/>
        <v>1.5859640944503206</v>
      </c>
      <c r="F89" s="3"/>
    </row>
    <row r="90" spans="1:6" x14ac:dyDescent="0.25">
      <c r="A90">
        <v>9</v>
      </c>
      <c r="B90" s="12">
        <f t="shared" si="8"/>
        <v>372.71407818144172</v>
      </c>
      <c r="C90" s="24">
        <f t="shared" si="9"/>
        <v>58.517507508624817</v>
      </c>
      <c r="D90" s="13">
        <f t="shared" si="10"/>
        <v>528.83972729445941</v>
      </c>
      <c r="E90" s="6">
        <f t="shared" si="11"/>
        <v>1.8555779905068752</v>
      </c>
      <c r="F90" s="3"/>
    </row>
    <row r="91" spans="1:6" x14ac:dyDescent="0.25">
      <c r="A91">
        <v>10</v>
      </c>
      <c r="B91" s="15">
        <f t="shared" si="8"/>
        <v>436.07547147228695</v>
      </c>
      <c r="C91" s="24">
        <f t="shared" si="9"/>
        <v>68.465483785091038</v>
      </c>
      <c r="D91" s="13">
        <f t="shared" si="10"/>
        <v>618.74248093451774</v>
      </c>
      <c r="E91" s="6">
        <f t="shared" si="11"/>
        <v>2.1710262488930443</v>
      </c>
      <c r="F91" s="3"/>
    </row>
    <row r="92" spans="1:6" x14ac:dyDescent="0.25">
      <c r="A92">
        <v>11</v>
      </c>
      <c r="B92" s="12">
        <f t="shared" si="8"/>
        <v>510.20830162257562</v>
      </c>
      <c r="C92" s="24">
        <f t="shared" si="9"/>
        <v>80.104616028556507</v>
      </c>
      <c r="D92" s="13">
        <f t="shared" si="10"/>
        <v>723.9287026933855</v>
      </c>
      <c r="E92" s="6">
        <f t="shared" si="11"/>
        <v>2.5401007112048615</v>
      </c>
      <c r="F92" s="3"/>
    </row>
    <row r="93" spans="1:6" x14ac:dyDescent="0.25">
      <c r="A93">
        <v>12</v>
      </c>
      <c r="B93" s="12">
        <f t="shared" si="8"/>
        <v>596.94371289841331</v>
      </c>
      <c r="C93" s="24">
        <f t="shared" si="9"/>
        <v>93.722400753411094</v>
      </c>
      <c r="D93" s="13">
        <f t="shared" si="10"/>
        <v>846.9965821512609</v>
      </c>
      <c r="E93" s="6">
        <f t="shared" si="11"/>
        <v>2.9719178321096873</v>
      </c>
      <c r="F93" s="3"/>
    </row>
    <row r="94" spans="1:6" x14ac:dyDescent="0.25">
      <c r="A94">
        <v>13</v>
      </c>
      <c r="B94" s="12">
        <f t="shared" si="8"/>
        <v>698.4241440911436</v>
      </c>
      <c r="C94" s="24">
        <f t="shared" si="9"/>
        <v>109.65520888149099</v>
      </c>
      <c r="D94" s="13">
        <f t="shared" si="10"/>
        <v>990.98600111697533</v>
      </c>
      <c r="E94" s="6">
        <f t="shared" si="11"/>
        <v>3.4771438635683345</v>
      </c>
      <c r="F94" s="3"/>
    </row>
    <row r="95" spans="1:6" x14ac:dyDescent="0.25">
      <c r="A95">
        <v>14</v>
      </c>
      <c r="B95" s="12">
        <f t="shared" si="8"/>
        <v>817.15624858663818</v>
      </c>
      <c r="C95" s="24">
        <f t="shared" si="9"/>
        <v>128.29659439134446</v>
      </c>
      <c r="D95" s="13">
        <f t="shared" si="10"/>
        <v>1159.4536213068609</v>
      </c>
      <c r="E95" s="6">
        <f t="shared" si="11"/>
        <v>4.0682583203749507</v>
      </c>
      <c r="F95" s="3"/>
    </row>
    <row r="96" spans="1:6" x14ac:dyDescent="0.25">
      <c r="A96">
        <v>15</v>
      </c>
      <c r="B96" s="12">
        <f t="shared" si="8"/>
        <v>956.07281084636656</v>
      </c>
      <c r="C96" s="24">
        <f t="shared" si="9"/>
        <v>150.10701543787297</v>
      </c>
      <c r="D96" s="13">
        <f t="shared" si="10"/>
        <v>1356.5607369290271</v>
      </c>
      <c r="E96" s="6">
        <f t="shared" si="11"/>
        <v>4.7598622348386916</v>
      </c>
      <c r="F96" s="3"/>
    </row>
    <row r="98" spans="1:11" x14ac:dyDescent="0.25">
      <c r="A98" s="11" t="s">
        <v>71</v>
      </c>
    </row>
    <row r="99" spans="1:11" x14ac:dyDescent="0.25">
      <c r="A99" s="11"/>
      <c r="B99" s="94"/>
      <c r="C99" s="94"/>
      <c r="D99" s="94"/>
      <c r="E99" s="94"/>
      <c r="F99" s="94"/>
      <c r="G99" s="102" t="s">
        <v>76</v>
      </c>
      <c r="H99" s="102" t="s">
        <v>75</v>
      </c>
      <c r="I99" s="94"/>
      <c r="J99" s="94"/>
      <c r="K99" s="94"/>
    </row>
    <row r="100" spans="1:11" x14ac:dyDescent="0.25">
      <c r="A100" s="96" t="s">
        <v>6</v>
      </c>
      <c r="B100" s="94"/>
      <c r="C100" s="102" t="s">
        <v>2</v>
      </c>
      <c r="D100" s="102" t="s">
        <v>3</v>
      </c>
      <c r="E100" s="94"/>
      <c r="F100" s="94"/>
      <c r="G100" s="102" t="s">
        <v>57</v>
      </c>
      <c r="H100" s="102" t="s">
        <v>57</v>
      </c>
      <c r="I100" s="94"/>
      <c r="J100" s="94"/>
      <c r="K100" s="94"/>
    </row>
    <row r="101" spans="1:11" x14ac:dyDescent="0.25">
      <c r="A101" s="96" t="s">
        <v>80</v>
      </c>
      <c r="B101" s="124">
        <f>$B$5</f>
        <v>1</v>
      </c>
      <c r="C101" s="125">
        <f>$C$5</f>
        <v>128</v>
      </c>
      <c r="D101" s="125">
        <f>$D$5</f>
        <v>2</v>
      </c>
      <c r="E101" s="126">
        <f>$E$5</f>
        <v>200</v>
      </c>
      <c r="F101" s="139">
        <f>$F$5</f>
        <v>250</v>
      </c>
      <c r="G101" s="81">
        <f>$G$5</f>
        <v>8</v>
      </c>
      <c r="H101" s="81">
        <f>$H$5</f>
        <v>0</v>
      </c>
      <c r="I101" s="127">
        <f>$I$5</f>
        <v>7</v>
      </c>
      <c r="J101" s="128">
        <f>$J$5</f>
        <v>0.75</v>
      </c>
      <c r="K101" s="128">
        <f>$K$5</f>
        <v>0.1</v>
      </c>
    </row>
    <row r="103" spans="1:11" x14ac:dyDescent="0.25">
      <c r="H103" s="1" t="s">
        <v>29</v>
      </c>
    </row>
    <row r="104" spans="1:11" x14ac:dyDescent="0.25">
      <c r="B104" s="27"/>
      <c r="C104" s="27"/>
      <c r="D104" s="27"/>
      <c r="E104" s="1" t="s">
        <v>31</v>
      </c>
      <c r="F104" s="1" t="s">
        <v>27</v>
      </c>
      <c r="G104" s="1" t="s">
        <v>22</v>
      </c>
      <c r="H104" s="1" t="s">
        <v>30</v>
      </c>
      <c r="I104" s="27"/>
    </row>
    <row r="105" spans="1:11" x14ac:dyDescent="0.25">
      <c r="A105" s="4" t="s">
        <v>7</v>
      </c>
      <c r="B105" s="1" t="s">
        <v>20</v>
      </c>
      <c r="C105" s="1" t="s">
        <v>26</v>
      </c>
      <c r="D105" s="1" t="s">
        <v>8</v>
      </c>
      <c r="E105" s="1" t="s">
        <v>32</v>
      </c>
      <c r="F105" s="1" t="s">
        <v>28</v>
      </c>
      <c r="G105" s="1" t="s">
        <v>28</v>
      </c>
      <c r="H105" s="1" t="s">
        <v>28</v>
      </c>
      <c r="I105" s="1" t="s">
        <v>9</v>
      </c>
    </row>
    <row r="106" spans="1:11" x14ac:dyDescent="0.25">
      <c r="A106">
        <v>0</v>
      </c>
      <c r="B106" s="25">
        <v>4.9000000000000004</v>
      </c>
      <c r="C106" s="29">
        <v>415</v>
      </c>
      <c r="D106" s="24">
        <f t="shared" ref="D106:D121" si="12">B106*secondsPerYear/1000/1000</f>
        <v>154.5264</v>
      </c>
      <c r="E106" s="13">
        <f t="shared" ref="E106:E121" si="13">B106*secondsPerBlock*avgTrSize/1000</f>
        <v>1396.5</v>
      </c>
      <c r="F106" s="12">
        <f t="shared" ref="F106:F121" si="14">assumevalidBlockTime*D106/365</f>
        <v>88.905599999999993</v>
      </c>
      <c r="G106" s="12">
        <f t="shared" ref="G106:G121" si="15">C106-F106</f>
        <v>326.09440000000001</v>
      </c>
      <c r="H106" s="12">
        <f t="shared" ref="H106:H121" si="16">F106+G106*(1-assumevalidSpeedup)</f>
        <v>121.51503999999998</v>
      </c>
      <c r="I106" s="26">
        <f t="shared" ref="I106:I121" si="17">(H106*1000*1000/(throughput3*POWER(1+cpuGrowth,A106)))/(secondsPerYear/365)</f>
        <v>7.0321203703703699</v>
      </c>
    </row>
    <row r="107" spans="1:11" x14ac:dyDescent="0.25">
      <c r="A107">
        <v>1</v>
      </c>
      <c r="B107" s="25">
        <v>5.2</v>
      </c>
      <c r="C107" s="12">
        <f>C106+D106</f>
        <v>569.52639999999997</v>
      </c>
      <c r="D107" s="24">
        <f t="shared" si="12"/>
        <v>163.9872</v>
      </c>
      <c r="E107" s="13">
        <f t="shared" si="13"/>
        <v>1482</v>
      </c>
      <c r="F107" s="12">
        <f t="shared" si="14"/>
        <v>94.348799999999997</v>
      </c>
      <c r="G107" s="12">
        <f t="shared" si="15"/>
        <v>475.17759999999998</v>
      </c>
      <c r="H107" s="12">
        <f t="shared" si="16"/>
        <v>141.86655999999999</v>
      </c>
      <c r="I107" s="26">
        <f t="shared" si="17"/>
        <v>7.0169832225387774</v>
      </c>
    </row>
    <row r="108" spans="1:11" x14ac:dyDescent="0.25">
      <c r="A108">
        <v>2</v>
      </c>
      <c r="B108" s="25">
        <v>5.6</v>
      </c>
      <c r="C108" s="12">
        <f t="shared" ref="C108:C121" si="18">C107+D107</f>
        <v>733.5136</v>
      </c>
      <c r="D108" s="24">
        <f t="shared" si="12"/>
        <v>176.60160000000002</v>
      </c>
      <c r="E108" s="13">
        <f t="shared" si="13"/>
        <v>1596</v>
      </c>
      <c r="F108" s="12">
        <f t="shared" si="14"/>
        <v>101.60640000000001</v>
      </c>
      <c r="G108" s="12">
        <f t="shared" si="15"/>
        <v>631.90719999999999</v>
      </c>
      <c r="H108" s="12">
        <f t="shared" si="16"/>
        <v>164.79712000000001</v>
      </c>
      <c r="I108" s="26">
        <f t="shared" si="17"/>
        <v>6.9668130399374473</v>
      </c>
    </row>
    <row r="109" spans="1:11" x14ac:dyDescent="0.25">
      <c r="A109">
        <v>3</v>
      </c>
      <c r="B109" s="25">
        <v>6.3</v>
      </c>
      <c r="C109" s="12">
        <f t="shared" si="18"/>
        <v>910.11519999999996</v>
      </c>
      <c r="D109" s="24">
        <f t="shared" si="12"/>
        <v>198.67679999999999</v>
      </c>
      <c r="E109" s="13">
        <f t="shared" si="13"/>
        <v>1795.5</v>
      </c>
      <c r="F109" s="12">
        <f t="shared" si="14"/>
        <v>114.30719999999999</v>
      </c>
      <c r="G109" s="12">
        <f t="shared" si="15"/>
        <v>795.80799999999999</v>
      </c>
      <c r="H109" s="12">
        <f t="shared" si="16"/>
        <v>193.88799999999998</v>
      </c>
      <c r="I109" s="26">
        <f t="shared" si="17"/>
        <v>7.005668891530207</v>
      </c>
    </row>
    <row r="110" spans="1:11" x14ac:dyDescent="0.25">
      <c r="A110">
        <v>4</v>
      </c>
      <c r="B110" s="25">
        <v>7</v>
      </c>
      <c r="C110" s="12">
        <f t="shared" si="18"/>
        <v>1108.7919999999999</v>
      </c>
      <c r="D110" s="24">
        <f t="shared" si="12"/>
        <v>220.75200000000001</v>
      </c>
      <c r="E110" s="13">
        <f t="shared" si="13"/>
        <v>1995</v>
      </c>
      <c r="F110" s="12">
        <f t="shared" si="14"/>
        <v>127.00800000000001</v>
      </c>
      <c r="G110" s="12">
        <f t="shared" si="15"/>
        <v>981.78399999999988</v>
      </c>
      <c r="H110" s="12">
        <f t="shared" si="16"/>
        <v>225.18639999999999</v>
      </c>
      <c r="I110" s="26">
        <f t="shared" si="17"/>
        <v>6.9543248392043688</v>
      </c>
    </row>
    <row r="111" spans="1:11" x14ac:dyDescent="0.25">
      <c r="A111">
        <v>5</v>
      </c>
      <c r="B111" s="25">
        <v>8</v>
      </c>
      <c r="C111" s="12">
        <f t="shared" si="18"/>
        <v>1329.5439999999999</v>
      </c>
      <c r="D111" s="24">
        <f t="shared" si="12"/>
        <v>252.28800000000001</v>
      </c>
      <c r="E111" s="13">
        <f t="shared" si="13"/>
        <v>2280</v>
      </c>
      <c r="F111" s="12">
        <f t="shared" si="14"/>
        <v>145.15200000000002</v>
      </c>
      <c r="G111" s="12">
        <f t="shared" si="15"/>
        <v>1184.3919999999998</v>
      </c>
      <c r="H111" s="12">
        <f t="shared" si="16"/>
        <v>263.59119999999996</v>
      </c>
      <c r="I111" s="26">
        <f t="shared" si="17"/>
        <v>6.9575744200021923</v>
      </c>
    </row>
    <row r="112" spans="1:11" x14ac:dyDescent="0.25">
      <c r="A112">
        <v>6</v>
      </c>
      <c r="B112" s="25">
        <v>9.1999999999999993</v>
      </c>
      <c r="C112" s="12">
        <f t="shared" si="18"/>
        <v>1581.8319999999999</v>
      </c>
      <c r="D112" s="24">
        <f t="shared" si="12"/>
        <v>290.13120000000004</v>
      </c>
      <c r="E112" s="13">
        <f t="shared" si="13"/>
        <v>2622</v>
      </c>
      <c r="F112" s="12">
        <f t="shared" si="14"/>
        <v>166.92480000000003</v>
      </c>
      <c r="G112" s="12">
        <f t="shared" si="15"/>
        <v>1414.9071999999999</v>
      </c>
      <c r="H112" s="12">
        <f t="shared" si="16"/>
        <v>308.41552000000001</v>
      </c>
      <c r="I112" s="26">
        <f t="shared" si="17"/>
        <v>6.9578861103947567</v>
      </c>
    </row>
    <row r="113" spans="1:9" x14ac:dyDescent="0.25">
      <c r="A113">
        <v>7</v>
      </c>
      <c r="B113" s="25">
        <v>10.8</v>
      </c>
      <c r="C113" s="12">
        <f t="shared" si="18"/>
        <v>1871.9631999999999</v>
      </c>
      <c r="D113" s="24">
        <f t="shared" si="12"/>
        <v>340.58879999999999</v>
      </c>
      <c r="E113" s="13">
        <f t="shared" si="13"/>
        <v>3078</v>
      </c>
      <c r="F113" s="12">
        <f t="shared" si="14"/>
        <v>195.95519999999999</v>
      </c>
      <c r="G113" s="12">
        <f t="shared" si="15"/>
        <v>1676.0079999999998</v>
      </c>
      <c r="H113" s="12">
        <f t="shared" si="16"/>
        <v>363.55599999999993</v>
      </c>
      <c r="I113" s="26">
        <f t="shared" si="17"/>
        <v>7.0101376552459262</v>
      </c>
    </row>
    <row r="114" spans="1:9" x14ac:dyDescent="0.25">
      <c r="A114">
        <v>8</v>
      </c>
      <c r="B114" s="25">
        <v>12.5</v>
      </c>
      <c r="C114" s="12">
        <f t="shared" si="18"/>
        <v>2212.5519999999997</v>
      </c>
      <c r="D114" s="24">
        <f t="shared" si="12"/>
        <v>394.2</v>
      </c>
      <c r="E114" s="13">
        <f t="shared" si="13"/>
        <v>3562.5</v>
      </c>
      <c r="F114" s="12">
        <f t="shared" si="14"/>
        <v>226.8</v>
      </c>
      <c r="G114" s="12">
        <f t="shared" si="15"/>
        <v>1985.7519999999997</v>
      </c>
      <c r="H114" s="12">
        <f t="shared" si="16"/>
        <v>425.37519999999995</v>
      </c>
      <c r="I114" s="26">
        <f t="shared" si="17"/>
        <v>7.0103795884201165</v>
      </c>
    </row>
    <row r="115" spans="1:9" x14ac:dyDescent="0.25">
      <c r="A115">
        <v>9</v>
      </c>
      <c r="B115" s="25">
        <v>14.3</v>
      </c>
      <c r="C115" s="12">
        <f t="shared" si="18"/>
        <v>2606.7519999999995</v>
      </c>
      <c r="D115" s="24">
        <f t="shared" si="12"/>
        <v>450.96479999999997</v>
      </c>
      <c r="E115" s="13">
        <f t="shared" si="13"/>
        <v>4075.5</v>
      </c>
      <c r="F115" s="12">
        <f t="shared" si="14"/>
        <v>259.45919999999995</v>
      </c>
      <c r="G115" s="12">
        <f t="shared" si="15"/>
        <v>2347.2927999999997</v>
      </c>
      <c r="H115" s="12">
        <f t="shared" si="16"/>
        <v>494.18847999999991</v>
      </c>
      <c r="I115" s="26">
        <f t="shared" si="17"/>
        <v>6.9610719634179485</v>
      </c>
    </row>
    <row r="116" spans="1:9" x14ac:dyDescent="0.25">
      <c r="A116">
        <v>10</v>
      </c>
      <c r="B116" s="25">
        <v>17</v>
      </c>
      <c r="C116" s="30">
        <f t="shared" si="18"/>
        <v>3057.7167999999992</v>
      </c>
      <c r="D116" s="24">
        <f t="shared" si="12"/>
        <v>536.11199999999997</v>
      </c>
      <c r="E116" s="13">
        <f t="shared" si="13"/>
        <v>4845</v>
      </c>
      <c r="F116" s="12">
        <f t="shared" si="14"/>
        <v>308.44799999999998</v>
      </c>
      <c r="G116" s="12">
        <f t="shared" si="15"/>
        <v>2749.2687999999994</v>
      </c>
      <c r="H116" s="12">
        <f t="shared" si="16"/>
        <v>583.37487999999985</v>
      </c>
      <c r="I116" s="26">
        <f t="shared" si="17"/>
        <v>7.0233671012487537</v>
      </c>
    </row>
    <row r="117" spans="1:9" x14ac:dyDescent="0.25">
      <c r="A117">
        <v>11</v>
      </c>
      <c r="B117" s="25">
        <v>19.399999999999999</v>
      </c>
      <c r="C117" s="12">
        <f t="shared" si="18"/>
        <v>3593.8287999999993</v>
      </c>
      <c r="D117" s="24">
        <f t="shared" si="12"/>
        <v>611.79840000000002</v>
      </c>
      <c r="E117" s="13">
        <f t="shared" si="13"/>
        <v>5529</v>
      </c>
      <c r="F117" s="12">
        <f t="shared" si="14"/>
        <v>351.99360000000001</v>
      </c>
      <c r="G117" s="12">
        <f t="shared" si="15"/>
        <v>3241.8351999999995</v>
      </c>
      <c r="H117" s="12">
        <f t="shared" si="16"/>
        <v>676.17711999999983</v>
      </c>
      <c r="I117" s="26">
        <f t="shared" si="17"/>
        <v>6.9578050155405826</v>
      </c>
    </row>
    <row r="118" spans="1:9" x14ac:dyDescent="0.25">
      <c r="A118">
        <v>12</v>
      </c>
      <c r="B118" s="25">
        <v>23</v>
      </c>
      <c r="C118" s="12">
        <f t="shared" si="18"/>
        <v>4205.627199999999</v>
      </c>
      <c r="D118" s="24">
        <f t="shared" si="12"/>
        <v>725.32799999999997</v>
      </c>
      <c r="E118" s="13">
        <f t="shared" si="13"/>
        <v>6555</v>
      </c>
      <c r="F118" s="12">
        <f t="shared" si="14"/>
        <v>417.31200000000001</v>
      </c>
      <c r="G118" s="12">
        <f t="shared" si="15"/>
        <v>3788.3151999999991</v>
      </c>
      <c r="H118" s="12">
        <f t="shared" si="16"/>
        <v>796.14351999999985</v>
      </c>
      <c r="I118" s="26">
        <f t="shared" si="17"/>
        <v>7.0019222745567324</v>
      </c>
    </row>
    <row r="119" spans="1:9" x14ac:dyDescent="0.25">
      <c r="A119">
        <v>13</v>
      </c>
      <c r="B119" s="25">
        <v>27</v>
      </c>
      <c r="C119" s="12">
        <f t="shared" si="18"/>
        <v>4930.9551999999985</v>
      </c>
      <c r="D119" s="24">
        <f t="shared" si="12"/>
        <v>851.47199999999998</v>
      </c>
      <c r="E119" s="13">
        <f t="shared" si="13"/>
        <v>7695</v>
      </c>
      <c r="F119" s="12">
        <f t="shared" si="14"/>
        <v>489.88799999999998</v>
      </c>
      <c r="G119" s="12">
        <f t="shared" si="15"/>
        <v>4441.0671999999986</v>
      </c>
      <c r="H119" s="12">
        <f t="shared" si="16"/>
        <v>933.99471999999969</v>
      </c>
      <c r="I119" s="26">
        <f t="shared" si="17"/>
        <v>7.0207657073208232</v>
      </c>
    </row>
    <row r="120" spans="1:9" x14ac:dyDescent="0.25">
      <c r="A120">
        <v>14</v>
      </c>
      <c r="B120" s="25">
        <v>31</v>
      </c>
      <c r="C120" s="12">
        <f t="shared" si="18"/>
        <v>5782.4271999999983</v>
      </c>
      <c r="D120" s="24">
        <f t="shared" si="12"/>
        <v>977.61599999999999</v>
      </c>
      <c r="E120" s="13">
        <f t="shared" si="13"/>
        <v>8835</v>
      </c>
      <c r="F120" s="12">
        <f t="shared" si="14"/>
        <v>562.46399999999994</v>
      </c>
      <c r="G120" s="12">
        <f t="shared" si="15"/>
        <v>5219.9631999999983</v>
      </c>
      <c r="H120" s="12">
        <f t="shared" si="16"/>
        <v>1084.4603199999997</v>
      </c>
      <c r="I120" s="26">
        <f t="shared" si="17"/>
        <v>6.9673537831319159</v>
      </c>
    </row>
    <row r="121" spans="1:9" x14ac:dyDescent="0.25">
      <c r="A121">
        <v>15</v>
      </c>
      <c r="B121" s="25">
        <v>37</v>
      </c>
      <c r="C121" s="12">
        <f t="shared" si="18"/>
        <v>6760.0431999999983</v>
      </c>
      <c r="D121" s="24">
        <f t="shared" si="12"/>
        <v>1166.8320000000001</v>
      </c>
      <c r="E121" s="13">
        <f t="shared" si="13"/>
        <v>10545</v>
      </c>
      <c r="F121" s="12">
        <f t="shared" si="14"/>
        <v>671.32800000000009</v>
      </c>
      <c r="G121" s="12">
        <f t="shared" si="15"/>
        <v>6088.7151999999978</v>
      </c>
      <c r="H121" s="12">
        <f t="shared" si="16"/>
        <v>1280.1995199999997</v>
      </c>
      <c r="I121" s="26">
        <f t="shared" si="17"/>
        <v>7.0298489861354483</v>
      </c>
    </row>
    <row r="123" spans="1:9" x14ac:dyDescent="0.25">
      <c r="H123" s="1" t="s">
        <v>29</v>
      </c>
    </row>
    <row r="124" spans="1:9" x14ac:dyDescent="0.25">
      <c r="E124" s="1" t="s">
        <v>31</v>
      </c>
      <c r="F124" s="1" t="s">
        <v>27</v>
      </c>
      <c r="G124" s="1" t="s">
        <v>22</v>
      </c>
      <c r="H124" s="1" t="s">
        <v>30</v>
      </c>
    </row>
    <row r="125" spans="1:9" x14ac:dyDescent="0.25">
      <c r="A125" s="4" t="s">
        <v>7</v>
      </c>
      <c r="B125" s="5" t="s">
        <v>20</v>
      </c>
      <c r="C125" s="5" t="s">
        <v>26</v>
      </c>
      <c r="D125" s="5" t="s">
        <v>8</v>
      </c>
      <c r="E125" s="1" t="s">
        <v>32</v>
      </c>
      <c r="F125" s="1" t="s">
        <v>28</v>
      </c>
      <c r="G125" s="1" t="s">
        <v>28</v>
      </c>
      <c r="H125" s="1" t="s">
        <v>28</v>
      </c>
      <c r="I125" s="5" t="s">
        <v>9</v>
      </c>
    </row>
    <row r="126" spans="1:9" x14ac:dyDescent="0.25">
      <c r="A126">
        <v>0</v>
      </c>
      <c r="B126" s="31">
        <v>4.2</v>
      </c>
      <c r="C126" s="28">
        <v>530</v>
      </c>
      <c r="D126" s="24">
        <f t="shared" ref="D126:D141" si="19">B126*secondsPerYear/1000/1000</f>
        <v>132.4512</v>
      </c>
      <c r="E126" s="13">
        <f t="shared" ref="E126:E141" si="20">B126*secondsPerBlock*avgTrSize/1000</f>
        <v>1197</v>
      </c>
      <c r="F126" s="12">
        <f t="shared" ref="F126:F141" si="21">assumevalidBlockTime*D126/365</f>
        <v>76.204800000000006</v>
      </c>
      <c r="G126" s="12">
        <f t="shared" ref="G126:G141" si="22">C126-F126</f>
        <v>453.79520000000002</v>
      </c>
      <c r="H126" s="12">
        <f t="shared" ref="H126:H141" si="23">F126+G126*(1-assumevalidSpeedup)</f>
        <v>121.58431999999999</v>
      </c>
      <c r="I126" s="26">
        <f t="shared" ref="I126:I141" si="24">(H126*1000*1000/(throughput3*POWER(1+cpuGrowth,A126)))/(secondsPerYear/365)</f>
        <v>7.0361296296296292</v>
      </c>
    </row>
    <row r="127" spans="1:9" x14ac:dyDescent="0.25">
      <c r="A127">
        <v>1</v>
      </c>
      <c r="B127" s="25">
        <v>4.5999999999999996</v>
      </c>
      <c r="C127" s="12">
        <f>C126+D126</f>
        <v>662.45119999999997</v>
      </c>
      <c r="D127" s="24">
        <f t="shared" si="19"/>
        <v>145.06560000000002</v>
      </c>
      <c r="E127" s="13">
        <f t="shared" si="20"/>
        <v>1311</v>
      </c>
      <c r="F127" s="12">
        <f t="shared" si="21"/>
        <v>83.462400000000017</v>
      </c>
      <c r="G127" s="12">
        <f t="shared" si="22"/>
        <v>578.98879999999997</v>
      </c>
      <c r="H127" s="12">
        <f t="shared" si="23"/>
        <v>141.36127999999999</v>
      </c>
      <c r="I127" s="26">
        <f t="shared" si="24"/>
        <v>6.9919911364355816</v>
      </c>
    </row>
    <row r="128" spans="1:9" x14ac:dyDescent="0.25">
      <c r="A128">
        <v>2</v>
      </c>
      <c r="B128" s="25">
        <v>5.2</v>
      </c>
      <c r="C128" s="12">
        <f t="shared" ref="C128:C141" si="25">C127+D127</f>
        <v>807.51679999999999</v>
      </c>
      <c r="D128" s="24">
        <f t="shared" si="19"/>
        <v>163.9872</v>
      </c>
      <c r="E128" s="13">
        <f t="shared" si="20"/>
        <v>1482</v>
      </c>
      <c r="F128" s="12">
        <f t="shared" si="21"/>
        <v>94.348799999999997</v>
      </c>
      <c r="G128" s="12">
        <f t="shared" si="22"/>
        <v>713.16800000000001</v>
      </c>
      <c r="H128" s="12">
        <f t="shared" si="23"/>
        <v>165.66559999999998</v>
      </c>
      <c r="I128" s="26">
        <f t="shared" si="24"/>
        <v>7.0035281098908824</v>
      </c>
    </row>
    <row r="129" spans="1:9" x14ac:dyDescent="0.25">
      <c r="A129">
        <v>3</v>
      </c>
      <c r="B129" s="25">
        <v>5.9</v>
      </c>
      <c r="C129" s="12">
        <f t="shared" si="25"/>
        <v>971.50400000000002</v>
      </c>
      <c r="D129" s="24">
        <f t="shared" si="19"/>
        <v>186.0624</v>
      </c>
      <c r="E129" s="13">
        <f t="shared" si="20"/>
        <v>1681.5</v>
      </c>
      <c r="F129" s="12">
        <f t="shared" si="21"/>
        <v>107.0496</v>
      </c>
      <c r="G129" s="12">
        <f t="shared" si="22"/>
        <v>864.45440000000008</v>
      </c>
      <c r="H129" s="12">
        <f t="shared" si="23"/>
        <v>193.49503999999999</v>
      </c>
      <c r="I129" s="26">
        <f t="shared" si="24"/>
        <v>6.9914702425802169</v>
      </c>
    </row>
    <row r="130" spans="1:9" x14ac:dyDescent="0.25">
      <c r="A130">
        <v>4</v>
      </c>
      <c r="B130" s="25">
        <v>6.7</v>
      </c>
      <c r="C130" s="12">
        <f t="shared" si="25"/>
        <v>1157.5663999999999</v>
      </c>
      <c r="D130" s="24">
        <f t="shared" si="19"/>
        <v>211.2912</v>
      </c>
      <c r="E130" s="13">
        <f t="shared" si="20"/>
        <v>1909.5</v>
      </c>
      <c r="F130" s="12">
        <f t="shared" si="21"/>
        <v>121.56480000000001</v>
      </c>
      <c r="G130" s="12">
        <f t="shared" si="22"/>
        <v>1036.0015999999998</v>
      </c>
      <c r="H130" s="12">
        <f t="shared" si="23"/>
        <v>225.16495999999995</v>
      </c>
      <c r="I130" s="26">
        <f t="shared" si="24"/>
        <v>6.9536627178482266</v>
      </c>
    </row>
    <row r="131" spans="1:9" x14ac:dyDescent="0.25">
      <c r="A131">
        <v>5</v>
      </c>
      <c r="B131" s="25">
        <v>7.8</v>
      </c>
      <c r="C131" s="12">
        <f t="shared" si="25"/>
        <v>1368.8575999999998</v>
      </c>
      <c r="D131" s="24">
        <f t="shared" si="19"/>
        <v>245.98079999999999</v>
      </c>
      <c r="E131" s="13">
        <f t="shared" si="20"/>
        <v>2223</v>
      </c>
      <c r="F131" s="12">
        <f t="shared" si="21"/>
        <v>141.5232</v>
      </c>
      <c r="G131" s="12">
        <f t="shared" si="22"/>
        <v>1227.3343999999997</v>
      </c>
      <c r="H131" s="12">
        <f t="shared" si="23"/>
        <v>264.25663999999995</v>
      </c>
      <c r="I131" s="26">
        <f t="shared" si="24"/>
        <v>6.9751389226185418</v>
      </c>
    </row>
    <row r="132" spans="1:9" x14ac:dyDescent="0.25">
      <c r="A132">
        <v>6</v>
      </c>
      <c r="B132" s="25">
        <v>9</v>
      </c>
      <c r="C132" s="12">
        <f t="shared" si="25"/>
        <v>1614.8383999999999</v>
      </c>
      <c r="D132" s="24">
        <f t="shared" si="19"/>
        <v>283.82400000000001</v>
      </c>
      <c r="E132" s="13">
        <f t="shared" si="20"/>
        <v>2565</v>
      </c>
      <c r="F132" s="12">
        <f t="shared" si="21"/>
        <v>163.29599999999999</v>
      </c>
      <c r="G132" s="12">
        <f t="shared" si="22"/>
        <v>1451.5423999999998</v>
      </c>
      <c r="H132" s="12">
        <f t="shared" si="23"/>
        <v>308.45023999999995</v>
      </c>
      <c r="I132" s="26">
        <f t="shared" si="24"/>
        <v>6.9586693971948259</v>
      </c>
    </row>
    <row r="133" spans="1:9" x14ac:dyDescent="0.25">
      <c r="A133">
        <v>7</v>
      </c>
      <c r="B133" s="25">
        <v>10.5</v>
      </c>
      <c r="C133" s="12">
        <f t="shared" si="25"/>
        <v>1898.6623999999999</v>
      </c>
      <c r="D133" s="24">
        <f t="shared" si="19"/>
        <v>331.12799999999999</v>
      </c>
      <c r="E133" s="13">
        <f t="shared" si="20"/>
        <v>2992.5</v>
      </c>
      <c r="F133" s="12">
        <f t="shared" si="21"/>
        <v>190.51199999999997</v>
      </c>
      <c r="G133" s="12">
        <f t="shared" si="22"/>
        <v>1708.1504</v>
      </c>
      <c r="H133" s="12">
        <f t="shared" si="23"/>
        <v>361.3270399999999</v>
      </c>
      <c r="I133" s="26">
        <f t="shared" si="24"/>
        <v>6.9671585366836224</v>
      </c>
    </row>
    <row r="134" spans="1:9" x14ac:dyDescent="0.25">
      <c r="A134">
        <v>8</v>
      </c>
      <c r="B134" s="25">
        <v>12.2</v>
      </c>
      <c r="C134" s="12">
        <f t="shared" si="25"/>
        <v>2229.7903999999999</v>
      </c>
      <c r="D134" s="24">
        <f t="shared" si="19"/>
        <v>384.73920000000004</v>
      </c>
      <c r="E134" s="13">
        <f t="shared" si="20"/>
        <v>3477</v>
      </c>
      <c r="F134" s="12">
        <f t="shared" si="21"/>
        <v>221.35680000000002</v>
      </c>
      <c r="G134" s="12">
        <f t="shared" si="22"/>
        <v>2008.4335999999998</v>
      </c>
      <c r="H134" s="12">
        <f t="shared" si="23"/>
        <v>422.20015999999998</v>
      </c>
      <c r="I134" s="26">
        <f t="shared" si="24"/>
        <v>6.9580534640752632</v>
      </c>
    </row>
    <row r="135" spans="1:9" x14ac:dyDescent="0.25">
      <c r="A135">
        <v>9</v>
      </c>
      <c r="B135" s="25">
        <v>14.3</v>
      </c>
      <c r="C135" s="12">
        <f t="shared" si="25"/>
        <v>2614.5295999999998</v>
      </c>
      <c r="D135" s="24">
        <f t="shared" si="19"/>
        <v>450.96479999999997</v>
      </c>
      <c r="E135" s="13">
        <f t="shared" si="20"/>
        <v>4075.5</v>
      </c>
      <c r="F135" s="12">
        <f t="shared" si="21"/>
        <v>259.45919999999995</v>
      </c>
      <c r="G135" s="12">
        <f t="shared" si="22"/>
        <v>2355.0704000000001</v>
      </c>
      <c r="H135" s="12">
        <f t="shared" si="23"/>
        <v>494.96623999999991</v>
      </c>
      <c r="I135" s="26">
        <f t="shared" si="24"/>
        <v>6.9720273853862391</v>
      </c>
    </row>
    <row r="136" spans="1:9" x14ac:dyDescent="0.25">
      <c r="A136">
        <v>10</v>
      </c>
      <c r="B136" s="25">
        <v>16.600000000000001</v>
      </c>
      <c r="C136" s="30">
        <f t="shared" si="25"/>
        <v>3065.4943999999996</v>
      </c>
      <c r="D136" s="24">
        <f t="shared" si="19"/>
        <v>523.49760000000003</v>
      </c>
      <c r="E136" s="13">
        <f t="shared" si="20"/>
        <v>4731</v>
      </c>
      <c r="F136" s="12">
        <f t="shared" si="21"/>
        <v>301.19040000000001</v>
      </c>
      <c r="G136" s="12">
        <f t="shared" si="22"/>
        <v>2764.3039999999996</v>
      </c>
      <c r="H136" s="12">
        <f t="shared" si="23"/>
        <v>577.62079999999992</v>
      </c>
      <c r="I136" s="26">
        <f t="shared" si="24"/>
        <v>6.9540925788868142</v>
      </c>
    </row>
    <row r="137" spans="1:9" x14ac:dyDescent="0.25">
      <c r="A137">
        <v>11</v>
      </c>
      <c r="B137" s="25">
        <v>19.399999999999999</v>
      </c>
      <c r="C137" s="12">
        <f t="shared" si="25"/>
        <v>3588.9919999999997</v>
      </c>
      <c r="D137" s="24">
        <f t="shared" si="19"/>
        <v>611.79840000000002</v>
      </c>
      <c r="E137" s="13">
        <f t="shared" si="20"/>
        <v>5529</v>
      </c>
      <c r="F137" s="12">
        <f t="shared" si="21"/>
        <v>351.99360000000001</v>
      </c>
      <c r="G137" s="12">
        <f t="shared" si="22"/>
        <v>3236.9983999999995</v>
      </c>
      <c r="H137" s="12">
        <f t="shared" si="23"/>
        <v>675.6934399999999</v>
      </c>
      <c r="I137" s="26">
        <f t="shared" si="24"/>
        <v>6.9528279895064635</v>
      </c>
    </row>
    <row r="138" spans="1:9" x14ac:dyDescent="0.25">
      <c r="A138">
        <v>12</v>
      </c>
      <c r="B138" s="25">
        <v>23</v>
      </c>
      <c r="C138" s="12">
        <f t="shared" si="25"/>
        <v>4200.7903999999999</v>
      </c>
      <c r="D138" s="24">
        <f t="shared" si="19"/>
        <v>725.32799999999997</v>
      </c>
      <c r="E138" s="13">
        <f t="shared" si="20"/>
        <v>6555</v>
      </c>
      <c r="F138" s="12">
        <f t="shared" si="21"/>
        <v>417.31200000000001</v>
      </c>
      <c r="G138" s="12">
        <f t="shared" si="22"/>
        <v>3783.4784</v>
      </c>
      <c r="H138" s="12">
        <f t="shared" si="23"/>
        <v>795.65983999999992</v>
      </c>
      <c r="I138" s="26">
        <f t="shared" si="24"/>
        <v>6.9976684061515027</v>
      </c>
    </row>
    <row r="139" spans="1:9" x14ac:dyDescent="0.25">
      <c r="A139">
        <v>13</v>
      </c>
      <c r="B139" s="25">
        <v>27</v>
      </c>
      <c r="C139" s="12">
        <f t="shared" si="25"/>
        <v>4926.1183999999994</v>
      </c>
      <c r="D139" s="24">
        <f t="shared" si="19"/>
        <v>851.47199999999998</v>
      </c>
      <c r="E139" s="13">
        <f t="shared" si="20"/>
        <v>7695</v>
      </c>
      <c r="F139" s="12">
        <f t="shared" si="21"/>
        <v>489.88799999999998</v>
      </c>
      <c r="G139" s="12">
        <f t="shared" si="22"/>
        <v>4436.2303999999995</v>
      </c>
      <c r="H139" s="12">
        <f t="shared" si="23"/>
        <v>933.51103999999987</v>
      </c>
      <c r="I139" s="26">
        <f t="shared" si="24"/>
        <v>7.0171299223590875</v>
      </c>
    </row>
    <row r="140" spans="1:9" x14ac:dyDescent="0.25">
      <c r="A140">
        <v>14</v>
      </c>
      <c r="B140" s="25">
        <v>31</v>
      </c>
      <c r="C140" s="12">
        <f t="shared" si="25"/>
        <v>5777.5903999999991</v>
      </c>
      <c r="D140" s="24">
        <f t="shared" si="19"/>
        <v>977.61599999999999</v>
      </c>
      <c r="E140" s="13">
        <f t="shared" si="20"/>
        <v>8835</v>
      </c>
      <c r="F140" s="12">
        <f t="shared" si="21"/>
        <v>562.46399999999994</v>
      </c>
      <c r="G140" s="12">
        <f t="shared" si="22"/>
        <v>5215.1263999999992</v>
      </c>
      <c r="H140" s="12">
        <f t="shared" si="23"/>
        <v>1083.9766399999999</v>
      </c>
      <c r="I140" s="26">
        <f t="shared" si="24"/>
        <v>6.9642462746176159</v>
      </c>
    </row>
    <row r="141" spans="1:9" x14ac:dyDescent="0.25">
      <c r="A141">
        <v>15</v>
      </c>
      <c r="B141" s="25">
        <v>37</v>
      </c>
      <c r="C141" s="12">
        <f t="shared" si="25"/>
        <v>6755.2063999999991</v>
      </c>
      <c r="D141" s="24">
        <f t="shared" si="19"/>
        <v>1166.8320000000001</v>
      </c>
      <c r="E141" s="13">
        <f t="shared" si="20"/>
        <v>10545</v>
      </c>
      <c r="F141" s="12">
        <f t="shared" si="21"/>
        <v>671.32800000000009</v>
      </c>
      <c r="G141" s="12">
        <f t="shared" si="22"/>
        <v>6083.8783999999987</v>
      </c>
      <c r="H141" s="12">
        <f t="shared" si="23"/>
        <v>1279.7158399999998</v>
      </c>
      <c r="I141" s="26">
        <f t="shared" si="24"/>
        <v>7.0271929959522845</v>
      </c>
    </row>
    <row r="162" spans="1:11" x14ac:dyDescent="0.25">
      <c r="A162" s="5" t="s">
        <v>99</v>
      </c>
    </row>
    <row r="163" spans="1:11" x14ac:dyDescent="0.25">
      <c r="A163" s="11"/>
      <c r="B163" s="94"/>
      <c r="C163" s="94"/>
      <c r="D163" s="94"/>
      <c r="E163" s="94"/>
      <c r="F163" s="94"/>
      <c r="G163" s="102" t="s">
        <v>76</v>
      </c>
      <c r="H163" s="102" t="s">
        <v>75</v>
      </c>
      <c r="I163" s="94"/>
      <c r="J163" s="94"/>
      <c r="K163" s="94"/>
    </row>
    <row r="164" spans="1:11" x14ac:dyDescent="0.25">
      <c r="A164" s="96" t="s">
        <v>6</v>
      </c>
      <c r="B164" s="94"/>
      <c r="C164" s="102" t="s">
        <v>2</v>
      </c>
      <c r="D164" s="102" t="s">
        <v>3</v>
      </c>
      <c r="E164" s="94"/>
      <c r="F164" s="94"/>
      <c r="G164" s="102" t="s">
        <v>57</v>
      </c>
      <c r="H164" s="102" t="s">
        <v>57</v>
      </c>
      <c r="I164" s="94"/>
      <c r="J164" s="94"/>
      <c r="K164" s="94"/>
    </row>
    <row r="165" spans="1:11" x14ac:dyDescent="0.25">
      <c r="A165" s="96" t="s">
        <v>80</v>
      </c>
      <c r="B165" s="124">
        <f>$B$5</f>
        <v>1</v>
      </c>
      <c r="C165" s="125">
        <f>$C$5</f>
        <v>128</v>
      </c>
      <c r="D165" s="125">
        <f>$D$5</f>
        <v>2</v>
      </c>
      <c r="E165" s="126">
        <f>$E$5</f>
        <v>200</v>
      </c>
      <c r="F165" s="139">
        <f>$F$5</f>
        <v>250</v>
      </c>
      <c r="G165" s="81">
        <f>$G$5</f>
        <v>8</v>
      </c>
      <c r="H165" s="81">
        <f>$H$5</f>
        <v>0</v>
      </c>
      <c r="I165" s="127">
        <f>$I$5</f>
        <v>7</v>
      </c>
      <c r="J165" s="128">
        <f>$J$5</f>
        <v>0.75</v>
      </c>
      <c r="K165" s="128">
        <f>$K$5</f>
        <v>0.1</v>
      </c>
    </row>
    <row r="167" spans="1:11" x14ac:dyDescent="0.25">
      <c r="E167" s="1" t="s">
        <v>31</v>
      </c>
    </row>
    <row r="168" spans="1:11" x14ac:dyDescent="0.25">
      <c r="A168" s="4" t="s">
        <v>7</v>
      </c>
      <c r="B168" s="1" t="s">
        <v>63</v>
      </c>
      <c r="C168" s="1" t="s">
        <v>64</v>
      </c>
      <c r="D168" s="1" t="s">
        <v>58</v>
      </c>
      <c r="E168" s="1" t="s">
        <v>32</v>
      </c>
    </row>
    <row r="169" spans="1:11" x14ac:dyDescent="0.25">
      <c r="A169">
        <v>0</v>
      </c>
      <c r="B169">
        <f t="shared" ref="B169:B184" si="26">invSize*(outgoingConnections+publicConnections8)</f>
        <v>288</v>
      </c>
      <c r="C169">
        <f t="shared" ref="C169:C184" si="27">2*avgTrSize</f>
        <v>950</v>
      </c>
      <c r="D169" s="3">
        <f t="shared" ref="D169:D184" si="28">(bandwidth8*mbToGB*KBperGB*1000)*ongoingResourcePercentage8*POWER(1+bandwidthGrowth,A169)/(B169+C169)</f>
        <v>10.096930533117932</v>
      </c>
      <c r="E169" s="45">
        <f>D169*avgTrSize*secondsPerBlock/1000/1000</f>
        <v>2.8776252019386108</v>
      </c>
    </row>
    <row r="170" spans="1:11" x14ac:dyDescent="0.25">
      <c r="A170">
        <v>1</v>
      </c>
      <c r="B170">
        <f t="shared" si="26"/>
        <v>288</v>
      </c>
      <c r="C170">
        <f t="shared" si="27"/>
        <v>950</v>
      </c>
      <c r="D170" s="97">
        <f t="shared" si="28"/>
        <v>12.621163166397416</v>
      </c>
      <c r="E170" s="45">
        <f t="shared" ref="E170:E184" si="29">D170*avgTrSize*secondsPerBlock/1000/1000</f>
        <v>3.5970315024232637</v>
      </c>
    </row>
    <row r="171" spans="1:11" x14ac:dyDescent="0.25">
      <c r="A171">
        <v>2</v>
      </c>
      <c r="B171">
        <f t="shared" si="26"/>
        <v>288</v>
      </c>
      <c r="C171">
        <f t="shared" si="27"/>
        <v>950</v>
      </c>
      <c r="D171" s="97">
        <f t="shared" si="28"/>
        <v>15.776453957996768</v>
      </c>
      <c r="E171" s="45">
        <f t="shared" si="29"/>
        <v>4.4962893780290791</v>
      </c>
    </row>
    <row r="172" spans="1:11" x14ac:dyDescent="0.25">
      <c r="A172">
        <v>3</v>
      </c>
      <c r="B172">
        <f t="shared" si="26"/>
        <v>288</v>
      </c>
      <c r="C172">
        <f t="shared" si="27"/>
        <v>950</v>
      </c>
      <c r="D172" s="97">
        <f t="shared" si="28"/>
        <v>19.720567447495963</v>
      </c>
      <c r="E172" s="45">
        <f t="shared" si="29"/>
        <v>5.6203617225363489</v>
      </c>
    </row>
    <row r="173" spans="1:11" x14ac:dyDescent="0.25">
      <c r="A173">
        <v>4</v>
      </c>
      <c r="B173">
        <f t="shared" si="26"/>
        <v>288</v>
      </c>
      <c r="C173">
        <f t="shared" si="27"/>
        <v>950</v>
      </c>
      <c r="D173" s="97">
        <f t="shared" si="28"/>
        <v>24.650709309369951</v>
      </c>
      <c r="E173" s="45">
        <f t="shared" si="29"/>
        <v>7.0254521531704359</v>
      </c>
    </row>
    <row r="174" spans="1:11" x14ac:dyDescent="0.25">
      <c r="A174">
        <v>5</v>
      </c>
      <c r="B174">
        <f t="shared" si="26"/>
        <v>288</v>
      </c>
      <c r="C174">
        <f t="shared" si="27"/>
        <v>950</v>
      </c>
      <c r="D174" s="97">
        <f t="shared" si="28"/>
        <v>30.81338663671244</v>
      </c>
      <c r="E174" s="45">
        <f t="shared" si="29"/>
        <v>8.7818151914630445</v>
      </c>
    </row>
    <row r="175" spans="1:11" x14ac:dyDescent="0.25">
      <c r="A175">
        <v>6</v>
      </c>
      <c r="B175">
        <f t="shared" si="26"/>
        <v>288</v>
      </c>
      <c r="C175">
        <f t="shared" si="27"/>
        <v>950</v>
      </c>
      <c r="D175" s="97">
        <f t="shared" si="28"/>
        <v>38.516733295890546</v>
      </c>
      <c r="E175" s="45">
        <f t="shared" si="29"/>
        <v>10.977268989328806</v>
      </c>
    </row>
    <row r="176" spans="1:11" x14ac:dyDescent="0.25">
      <c r="A176">
        <v>7</v>
      </c>
      <c r="B176">
        <f t="shared" si="26"/>
        <v>288</v>
      </c>
      <c r="C176">
        <f t="shared" si="27"/>
        <v>950</v>
      </c>
      <c r="D176" s="97">
        <f t="shared" si="28"/>
        <v>48.145916619863186</v>
      </c>
      <c r="E176" s="45">
        <f t="shared" si="29"/>
        <v>13.721586236661009</v>
      </c>
    </row>
    <row r="177" spans="1:11" x14ac:dyDescent="0.25">
      <c r="A177">
        <v>8</v>
      </c>
      <c r="B177">
        <f t="shared" si="26"/>
        <v>288</v>
      </c>
      <c r="C177">
        <f t="shared" si="27"/>
        <v>950</v>
      </c>
      <c r="D177" s="97">
        <f t="shared" si="28"/>
        <v>60.182395774828983</v>
      </c>
      <c r="E177" s="45">
        <f t="shared" si="29"/>
        <v>17.15198279582626</v>
      </c>
    </row>
    <row r="178" spans="1:11" x14ac:dyDescent="0.25">
      <c r="A178">
        <v>9</v>
      </c>
      <c r="B178">
        <f t="shared" si="26"/>
        <v>288</v>
      </c>
      <c r="C178">
        <f t="shared" si="27"/>
        <v>950</v>
      </c>
      <c r="D178" s="97">
        <f t="shared" si="28"/>
        <v>75.227994718536223</v>
      </c>
      <c r="E178" s="45">
        <f t="shared" si="29"/>
        <v>21.439978494782824</v>
      </c>
    </row>
    <row r="179" spans="1:11" x14ac:dyDescent="0.25">
      <c r="A179">
        <v>10</v>
      </c>
      <c r="B179">
        <f t="shared" si="26"/>
        <v>288</v>
      </c>
      <c r="C179">
        <f t="shared" si="27"/>
        <v>950</v>
      </c>
      <c r="D179" s="97">
        <f t="shared" si="28"/>
        <v>94.034993398170286</v>
      </c>
      <c r="E179" s="45">
        <f t="shared" si="29"/>
        <v>26.799973118478533</v>
      </c>
    </row>
    <row r="180" spans="1:11" x14ac:dyDescent="0.25">
      <c r="A180">
        <v>11</v>
      </c>
      <c r="B180">
        <f t="shared" si="26"/>
        <v>288</v>
      </c>
      <c r="C180">
        <f t="shared" si="27"/>
        <v>950</v>
      </c>
      <c r="D180" s="97">
        <f t="shared" si="28"/>
        <v>117.54374174771286</v>
      </c>
      <c r="E180" s="45">
        <f t="shared" si="29"/>
        <v>33.499966398098167</v>
      </c>
    </row>
    <row r="181" spans="1:11" x14ac:dyDescent="0.25">
      <c r="A181">
        <v>12</v>
      </c>
      <c r="B181">
        <f t="shared" si="26"/>
        <v>288</v>
      </c>
      <c r="C181">
        <f t="shared" si="27"/>
        <v>950</v>
      </c>
      <c r="D181" s="97">
        <f t="shared" si="28"/>
        <v>146.92967718464106</v>
      </c>
      <c r="E181" s="45">
        <f t="shared" si="29"/>
        <v>41.874957997622701</v>
      </c>
    </row>
    <row r="182" spans="1:11" x14ac:dyDescent="0.25">
      <c r="A182">
        <v>13</v>
      </c>
      <c r="B182">
        <f t="shared" si="26"/>
        <v>288</v>
      </c>
      <c r="C182">
        <f t="shared" si="27"/>
        <v>950</v>
      </c>
      <c r="D182" s="97">
        <f t="shared" si="28"/>
        <v>183.66209648080135</v>
      </c>
      <c r="E182" s="45">
        <f t="shared" si="29"/>
        <v>52.343697497028387</v>
      </c>
    </row>
    <row r="183" spans="1:11" x14ac:dyDescent="0.25">
      <c r="A183">
        <v>14</v>
      </c>
      <c r="B183">
        <f t="shared" si="26"/>
        <v>288</v>
      </c>
      <c r="C183">
        <f t="shared" si="27"/>
        <v>950</v>
      </c>
      <c r="D183" s="97">
        <f t="shared" si="28"/>
        <v>229.57762060100168</v>
      </c>
      <c r="E183" s="45">
        <f t="shared" si="29"/>
        <v>65.429621871285477</v>
      </c>
    </row>
    <row r="184" spans="1:11" x14ac:dyDescent="0.25">
      <c r="A184">
        <v>15</v>
      </c>
      <c r="B184">
        <f t="shared" si="26"/>
        <v>288</v>
      </c>
      <c r="C184">
        <f t="shared" si="27"/>
        <v>950</v>
      </c>
      <c r="D184" s="97">
        <f t="shared" si="28"/>
        <v>286.97202575125209</v>
      </c>
      <c r="E184" s="45">
        <f t="shared" si="29"/>
        <v>81.787027339106857</v>
      </c>
    </row>
    <row r="185" spans="1:11" s="94" customFormat="1" x14ac:dyDescent="0.25">
      <c r="B185"/>
      <c r="C185"/>
      <c r="D185"/>
      <c r="E185"/>
      <c r="F185"/>
      <c r="G185"/>
      <c r="H185"/>
      <c r="I185"/>
      <c r="J185"/>
      <c r="K185"/>
    </row>
    <row r="186" spans="1:11" s="94" customFormat="1" x14ac:dyDescent="0.25">
      <c r="A186" s="99" t="s">
        <v>100</v>
      </c>
    </row>
    <row r="187" spans="1:11" s="94" customFormat="1" x14ac:dyDescent="0.25">
      <c r="A187" s="99"/>
      <c r="G187" s="102" t="s">
        <v>76</v>
      </c>
      <c r="H187" s="102" t="s">
        <v>75</v>
      </c>
    </row>
    <row r="188" spans="1:11" s="94" customFormat="1" x14ac:dyDescent="0.25">
      <c r="A188" s="96" t="s">
        <v>6</v>
      </c>
      <c r="C188" s="102" t="s">
        <v>2</v>
      </c>
      <c r="D188" s="102" t="s">
        <v>3</v>
      </c>
      <c r="G188" s="102" t="s">
        <v>57</v>
      </c>
      <c r="H188" s="102" t="s">
        <v>57</v>
      </c>
    </row>
    <row r="189" spans="1:11" s="94" customFormat="1" x14ac:dyDescent="0.25">
      <c r="A189" s="96" t="s">
        <v>81</v>
      </c>
      <c r="B189" s="124">
        <f>$B$4</f>
        <v>50</v>
      </c>
      <c r="C189" s="125">
        <f>$C$4</f>
        <v>2000</v>
      </c>
      <c r="D189" s="125">
        <f>$D$4</f>
        <v>8</v>
      </c>
      <c r="E189" s="126">
        <f>$E$4</f>
        <v>5000</v>
      </c>
      <c r="F189" s="139">
        <f>$F$4</f>
        <v>130</v>
      </c>
      <c r="G189" s="81">
        <f>$G$4</f>
        <v>8</v>
      </c>
      <c r="H189" s="81">
        <f>$H$4</f>
        <v>80</v>
      </c>
      <c r="I189" s="127">
        <f>$I$4</f>
        <v>7</v>
      </c>
      <c r="J189" s="128">
        <f>$J$4</f>
        <v>0.5</v>
      </c>
      <c r="K189" s="128">
        <f>$K$4</f>
        <v>0.1</v>
      </c>
    </row>
    <row r="190" spans="1:11" s="94" customFormat="1" x14ac:dyDescent="0.25"/>
    <row r="191" spans="1:11" s="94" customFormat="1" x14ac:dyDescent="0.25">
      <c r="E191" s="95" t="s">
        <v>31</v>
      </c>
    </row>
    <row r="192" spans="1:11" s="94" customFormat="1" x14ac:dyDescent="0.25">
      <c r="A192" s="98" t="s">
        <v>7</v>
      </c>
      <c r="B192" s="95" t="s">
        <v>63</v>
      </c>
      <c r="C192" s="95" t="s">
        <v>64</v>
      </c>
      <c r="D192" s="95" t="s">
        <v>58</v>
      </c>
      <c r="E192" s="95" t="s">
        <v>32</v>
      </c>
    </row>
    <row r="193" spans="1:5" s="94" customFormat="1" x14ac:dyDescent="0.25">
      <c r="A193" s="94">
        <v>0</v>
      </c>
      <c r="B193" s="94">
        <f t="shared" ref="B193:B208" si="30">invSize*(outgoingConnections9+publicConnections9)</f>
        <v>3168</v>
      </c>
      <c r="C193" s="94">
        <f t="shared" ref="C193:C208" si="31">2*avgTrSize</f>
        <v>950</v>
      </c>
      <c r="D193" s="97">
        <f t="shared" ref="D193:D208" si="32">(bandwidth8p9*mbToGB*KBperGB*1000)*ongoingResourcePercentage8p9*POWER(1+bandwidthGrowth,A193)/(B193+C193)</f>
        <v>151.77270519669742</v>
      </c>
      <c r="E193" s="104">
        <f t="shared" ref="E193:E208" si="33">D193*avgTrSize*secondsPerBlock/1000/1000</f>
        <v>43.255220981058763</v>
      </c>
    </row>
    <row r="194" spans="1:5" s="94" customFormat="1" x14ac:dyDescent="0.25">
      <c r="A194" s="94">
        <v>1</v>
      </c>
      <c r="B194" s="94">
        <f t="shared" si="30"/>
        <v>3168</v>
      </c>
      <c r="C194" s="94">
        <f t="shared" si="31"/>
        <v>950</v>
      </c>
      <c r="D194" s="97">
        <f t="shared" si="32"/>
        <v>189.71588149587177</v>
      </c>
      <c r="E194" s="104">
        <f t="shared" si="33"/>
        <v>54.069026226323452</v>
      </c>
    </row>
    <row r="195" spans="1:5" s="94" customFormat="1" x14ac:dyDescent="0.25">
      <c r="A195" s="94">
        <v>2</v>
      </c>
      <c r="B195" s="94">
        <f t="shared" si="30"/>
        <v>3168</v>
      </c>
      <c r="C195" s="94">
        <f t="shared" si="31"/>
        <v>950</v>
      </c>
      <c r="D195" s="97">
        <f t="shared" si="32"/>
        <v>237.14485186983973</v>
      </c>
      <c r="E195" s="104">
        <f t="shared" si="33"/>
        <v>67.58628278290432</v>
      </c>
    </row>
    <row r="196" spans="1:5" s="94" customFormat="1" x14ac:dyDescent="0.25">
      <c r="A196" s="94">
        <v>3</v>
      </c>
      <c r="B196" s="94">
        <f t="shared" si="30"/>
        <v>3168</v>
      </c>
      <c r="C196" s="94">
        <f t="shared" si="31"/>
        <v>950</v>
      </c>
      <c r="D196" s="97">
        <f t="shared" si="32"/>
        <v>296.43106483729969</v>
      </c>
      <c r="E196" s="104">
        <f t="shared" si="33"/>
        <v>84.482853478630403</v>
      </c>
    </row>
    <row r="197" spans="1:5" s="94" customFormat="1" x14ac:dyDescent="0.25">
      <c r="A197" s="94">
        <v>4</v>
      </c>
      <c r="B197" s="94">
        <f t="shared" si="30"/>
        <v>3168</v>
      </c>
      <c r="C197" s="94">
        <f t="shared" si="31"/>
        <v>950</v>
      </c>
      <c r="D197" s="97">
        <f t="shared" si="32"/>
        <v>370.53883104662458</v>
      </c>
      <c r="E197" s="104">
        <f t="shared" si="33"/>
        <v>105.60356684828801</v>
      </c>
    </row>
    <row r="198" spans="1:5" s="94" customFormat="1" x14ac:dyDescent="0.25">
      <c r="A198" s="94">
        <v>5</v>
      </c>
      <c r="B198" s="94">
        <f t="shared" si="30"/>
        <v>3168</v>
      </c>
      <c r="C198" s="94">
        <f t="shared" si="31"/>
        <v>950</v>
      </c>
      <c r="D198" s="97">
        <f t="shared" si="32"/>
        <v>463.17353880828074</v>
      </c>
      <c r="E198" s="104">
        <f t="shared" si="33"/>
        <v>132.00445856036001</v>
      </c>
    </row>
    <row r="199" spans="1:5" s="94" customFormat="1" x14ac:dyDescent="0.25">
      <c r="A199" s="94">
        <v>6</v>
      </c>
      <c r="B199" s="94">
        <f t="shared" si="30"/>
        <v>3168</v>
      </c>
      <c r="C199" s="94">
        <f t="shared" si="31"/>
        <v>950</v>
      </c>
      <c r="D199" s="97">
        <f t="shared" si="32"/>
        <v>578.96692351035085</v>
      </c>
      <c r="E199" s="104">
        <f t="shared" si="33"/>
        <v>165.00557320045002</v>
      </c>
    </row>
    <row r="200" spans="1:5" s="94" customFormat="1" x14ac:dyDescent="0.25">
      <c r="A200" s="94">
        <v>7</v>
      </c>
      <c r="B200" s="94">
        <f t="shared" si="30"/>
        <v>3168</v>
      </c>
      <c r="C200" s="94">
        <f t="shared" si="31"/>
        <v>950</v>
      </c>
      <c r="D200" s="97">
        <f t="shared" si="32"/>
        <v>723.70865438793862</v>
      </c>
      <c r="E200" s="104">
        <f t="shared" si="33"/>
        <v>206.2569665005625</v>
      </c>
    </row>
    <row r="201" spans="1:5" s="94" customFormat="1" x14ac:dyDescent="0.25">
      <c r="A201" s="94">
        <v>8</v>
      </c>
      <c r="B201" s="94">
        <f t="shared" si="30"/>
        <v>3168</v>
      </c>
      <c r="C201" s="94">
        <f t="shared" si="31"/>
        <v>950</v>
      </c>
      <c r="D201" s="97">
        <f t="shared" si="32"/>
        <v>904.63581798492328</v>
      </c>
      <c r="E201" s="104">
        <f t="shared" si="33"/>
        <v>257.82120812570315</v>
      </c>
    </row>
    <row r="202" spans="1:5" s="94" customFormat="1" x14ac:dyDescent="0.25">
      <c r="A202" s="94">
        <v>9</v>
      </c>
      <c r="B202" s="94">
        <f t="shared" si="30"/>
        <v>3168</v>
      </c>
      <c r="C202" s="94">
        <f t="shared" si="31"/>
        <v>950</v>
      </c>
      <c r="D202" s="97">
        <f t="shared" si="32"/>
        <v>1130.794772481154</v>
      </c>
      <c r="E202" s="104">
        <f t="shared" si="33"/>
        <v>322.27651015712894</v>
      </c>
    </row>
    <row r="203" spans="1:5" s="94" customFormat="1" x14ac:dyDescent="0.25">
      <c r="A203" s="94">
        <v>10</v>
      </c>
      <c r="B203" s="94">
        <f t="shared" si="30"/>
        <v>3168</v>
      </c>
      <c r="C203" s="94">
        <f t="shared" si="31"/>
        <v>950</v>
      </c>
      <c r="D203" s="97">
        <f t="shared" si="32"/>
        <v>1413.4934656014427</v>
      </c>
      <c r="E203" s="104">
        <f t="shared" si="33"/>
        <v>402.84563769641119</v>
      </c>
    </row>
    <row r="204" spans="1:5" s="94" customFormat="1" x14ac:dyDescent="0.25">
      <c r="A204" s="94">
        <v>11</v>
      </c>
      <c r="B204" s="94">
        <f t="shared" si="30"/>
        <v>3168</v>
      </c>
      <c r="C204" s="94">
        <f t="shared" si="31"/>
        <v>950</v>
      </c>
      <c r="D204" s="97">
        <f t="shared" si="32"/>
        <v>1766.8668320018032</v>
      </c>
      <c r="E204" s="104">
        <f t="shared" si="33"/>
        <v>503.55704712051397</v>
      </c>
    </row>
    <row r="205" spans="1:5" s="94" customFormat="1" x14ac:dyDescent="0.25">
      <c r="A205" s="94">
        <v>12</v>
      </c>
      <c r="B205" s="94">
        <f t="shared" si="30"/>
        <v>3168</v>
      </c>
      <c r="C205" s="94">
        <f t="shared" si="31"/>
        <v>950</v>
      </c>
      <c r="D205" s="97">
        <f t="shared" si="32"/>
        <v>2208.5835400022543</v>
      </c>
      <c r="E205" s="104">
        <f t="shared" si="33"/>
        <v>629.44630890064241</v>
      </c>
    </row>
    <row r="206" spans="1:5" s="94" customFormat="1" x14ac:dyDescent="0.25">
      <c r="A206" s="94">
        <v>13</v>
      </c>
      <c r="B206" s="94">
        <f t="shared" si="30"/>
        <v>3168</v>
      </c>
      <c r="C206" s="94">
        <f t="shared" si="31"/>
        <v>950</v>
      </c>
      <c r="D206" s="97">
        <f t="shared" si="32"/>
        <v>2760.7294250028176</v>
      </c>
      <c r="E206" s="104">
        <f t="shared" si="33"/>
        <v>786.80788612580307</v>
      </c>
    </row>
    <row r="207" spans="1:5" s="94" customFormat="1" x14ac:dyDescent="0.25">
      <c r="A207" s="94">
        <v>14</v>
      </c>
      <c r="B207" s="94">
        <f t="shared" si="30"/>
        <v>3168</v>
      </c>
      <c r="C207" s="94">
        <f t="shared" si="31"/>
        <v>950</v>
      </c>
      <c r="D207" s="97">
        <f t="shared" si="32"/>
        <v>3450.9117812535219</v>
      </c>
      <c r="E207" s="104">
        <f t="shared" si="33"/>
        <v>983.50985765725375</v>
      </c>
    </row>
    <row r="208" spans="1:5" s="94" customFormat="1" x14ac:dyDescent="0.25">
      <c r="A208" s="94">
        <v>15</v>
      </c>
      <c r="B208" s="94">
        <f t="shared" si="30"/>
        <v>3168</v>
      </c>
      <c r="C208" s="94">
        <f t="shared" si="31"/>
        <v>950</v>
      </c>
      <c r="D208" s="97">
        <f t="shared" si="32"/>
        <v>4313.6397265669029</v>
      </c>
      <c r="E208" s="104">
        <f t="shared" si="33"/>
        <v>1229.3873220715675</v>
      </c>
    </row>
    <row r="210" spans="1:11" x14ac:dyDescent="0.25">
      <c r="A210" s="11" t="s">
        <v>54</v>
      </c>
    </row>
    <row r="211" spans="1:11" x14ac:dyDescent="0.25">
      <c r="A211" s="11"/>
      <c r="B211" s="94"/>
      <c r="C211" s="94"/>
      <c r="D211" s="94"/>
      <c r="E211" s="94"/>
      <c r="F211" s="94"/>
      <c r="G211" s="102" t="s">
        <v>76</v>
      </c>
      <c r="H211" s="102" t="s">
        <v>75</v>
      </c>
      <c r="I211" s="94"/>
      <c r="J211" s="94"/>
      <c r="K211" s="94"/>
    </row>
    <row r="212" spans="1:11" x14ac:dyDescent="0.25">
      <c r="A212" s="96" t="s">
        <v>6</v>
      </c>
      <c r="B212" s="94"/>
      <c r="C212" s="102" t="s">
        <v>2</v>
      </c>
      <c r="D212" s="102" t="s">
        <v>3</v>
      </c>
      <c r="E212" s="94"/>
      <c r="F212" s="94"/>
      <c r="G212" s="102" t="s">
        <v>57</v>
      </c>
      <c r="H212" s="102" t="s">
        <v>57</v>
      </c>
      <c r="I212" s="94"/>
      <c r="J212" s="94"/>
      <c r="K212" s="94"/>
    </row>
    <row r="213" spans="1:11" x14ac:dyDescent="0.25">
      <c r="A213" s="96" t="s">
        <v>80</v>
      </c>
      <c r="B213" s="124">
        <f>$B$5</f>
        <v>1</v>
      </c>
      <c r="C213" s="125">
        <f>$C$5</f>
        <v>128</v>
      </c>
      <c r="D213" s="125">
        <f>$D$5</f>
        <v>2</v>
      </c>
      <c r="E213" s="126">
        <f>$E$5</f>
        <v>200</v>
      </c>
      <c r="F213" s="139">
        <f>$F$5</f>
        <v>250</v>
      </c>
      <c r="G213" s="81">
        <f>$G$5</f>
        <v>8</v>
      </c>
      <c r="H213" s="81">
        <f>$H$5</f>
        <v>0</v>
      </c>
      <c r="I213" s="127">
        <f>$I$5</f>
        <v>7</v>
      </c>
      <c r="J213" s="128">
        <f>$J$5</f>
        <v>0.75</v>
      </c>
      <c r="K213" s="128">
        <f>$K$5</f>
        <v>0.1</v>
      </c>
    </row>
    <row r="215" spans="1:11" x14ac:dyDescent="0.25">
      <c r="C215" s="1" t="s">
        <v>30</v>
      </c>
    </row>
    <row r="216" spans="1:11" x14ac:dyDescent="0.25">
      <c r="A216" s="4" t="s">
        <v>7</v>
      </c>
      <c r="B216" s="1" t="s">
        <v>55</v>
      </c>
      <c r="C216" s="1" t="s">
        <v>32</v>
      </c>
      <c r="F216" s="1"/>
    </row>
    <row r="217" spans="1:11" x14ac:dyDescent="0.25">
      <c r="A217">
        <v>0</v>
      </c>
      <c r="B217" s="43">
        <f t="shared" ref="B217:B232" si="34">throughput5*ongoingResourcePercentage5*POWER(1+cpuGrowth,A217)</f>
        <v>20</v>
      </c>
      <c r="C217" s="42">
        <f t="shared" ref="C217:C232" si="35">B217*secondsPerBlock*avgTrSize/1000/1000</f>
        <v>5.7</v>
      </c>
      <c r="F217" s="1"/>
    </row>
    <row r="218" spans="1:11" x14ac:dyDescent="0.25">
      <c r="A218">
        <v>1</v>
      </c>
      <c r="B218" s="43">
        <f t="shared" si="34"/>
        <v>23.4</v>
      </c>
      <c r="C218" s="42">
        <f t="shared" si="35"/>
        <v>6.6689999999999996</v>
      </c>
      <c r="F218" s="7"/>
    </row>
    <row r="219" spans="1:11" x14ac:dyDescent="0.25">
      <c r="A219">
        <v>2</v>
      </c>
      <c r="B219" s="43">
        <f t="shared" si="34"/>
        <v>27.377999999999997</v>
      </c>
      <c r="C219" s="42">
        <f t="shared" si="35"/>
        <v>7.8027299999999995</v>
      </c>
      <c r="F219" s="7"/>
      <c r="H219" s="1"/>
    </row>
    <row r="220" spans="1:11" x14ac:dyDescent="0.25">
      <c r="A220">
        <v>3</v>
      </c>
      <c r="B220" s="43">
        <f t="shared" si="34"/>
        <v>32.032259999999994</v>
      </c>
      <c r="C220" s="42">
        <f t="shared" si="35"/>
        <v>9.1291940999999976</v>
      </c>
      <c r="F220" s="7"/>
    </row>
    <row r="221" spans="1:11" x14ac:dyDescent="0.25">
      <c r="A221">
        <v>4</v>
      </c>
      <c r="B221" s="43">
        <f t="shared" si="34"/>
        <v>37.477744199999989</v>
      </c>
      <c r="C221" s="42">
        <f t="shared" si="35"/>
        <v>10.681157096999998</v>
      </c>
      <c r="F221" s="7"/>
    </row>
    <row r="222" spans="1:11" x14ac:dyDescent="0.25">
      <c r="A222">
        <v>5</v>
      </c>
      <c r="B222" s="43">
        <f t="shared" si="34"/>
        <v>43.848960713999986</v>
      </c>
      <c r="C222" s="42">
        <f t="shared" si="35"/>
        <v>12.496953803489996</v>
      </c>
      <c r="F222" s="7"/>
    </row>
    <row r="223" spans="1:11" x14ac:dyDescent="0.25">
      <c r="A223">
        <v>6</v>
      </c>
      <c r="B223" s="43">
        <f t="shared" si="34"/>
        <v>51.303284035379981</v>
      </c>
      <c r="C223" s="42">
        <f t="shared" si="35"/>
        <v>14.621435950083294</v>
      </c>
      <c r="F223" s="7"/>
    </row>
    <row r="224" spans="1:11" x14ac:dyDescent="0.25">
      <c r="A224">
        <v>7</v>
      </c>
      <c r="B224" s="43">
        <f t="shared" si="34"/>
        <v>60.024842321394573</v>
      </c>
      <c r="C224" s="42">
        <f t="shared" si="35"/>
        <v>17.107080061597451</v>
      </c>
      <c r="F224" s="14"/>
    </row>
    <row r="225" spans="1:11" x14ac:dyDescent="0.25">
      <c r="A225">
        <v>8</v>
      </c>
      <c r="B225" s="43">
        <f t="shared" si="34"/>
        <v>70.229065516031639</v>
      </c>
      <c r="C225" s="42">
        <f t="shared" si="35"/>
        <v>20.015283672069017</v>
      </c>
      <c r="F225" s="7"/>
    </row>
    <row r="226" spans="1:11" x14ac:dyDescent="0.25">
      <c r="A226">
        <v>9</v>
      </c>
      <c r="B226" s="43">
        <f t="shared" si="34"/>
        <v>82.168006653757004</v>
      </c>
      <c r="C226" s="42">
        <f t="shared" si="35"/>
        <v>23.417881896320743</v>
      </c>
      <c r="F226" s="7"/>
    </row>
    <row r="227" spans="1:11" x14ac:dyDescent="0.25">
      <c r="A227">
        <v>10</v>
      </c>
      <c r="B227" s="43">
        <f t="shared" si="34"/>
        <v>96.136567784895703</v>
      </c>
      <c r="C227" s="42">
        <f t="shared" si="35"/>
        <v>27.398921818695278</v>
      </c>
      <c r="F227" s="7"/>
    </row>
    <row r="228" spans="1:11" x14ac:dyDescent="0.25">
      <c r="A228">
        <v>11</v>
      </c>
      <c r="B228" s="43">
        <f t="shared" si="34"/>
        <v>112.47978430832796</v>
      </c>
      <c r="C228" s="42">
        <f t="shared" si="35"/>
        <v>32.05673852787347</v>
      </c>
      <c r="F228" s="7"/>
    </row>
    <row r="229" spans="1:11" x14ac:dyDescent="0.25">
      <c r="A229">
        <v>12</v>
      </c>
      <c r="B229" s="43">
        <f t="shared" si="34"/>
        <v>131.60134764074368</v>
      </c>
      <c r="C229" s="42">
        <f t="shared" si="35"/>
        <v>37.506384077611948</v>
      </c>
      <c r="F229" s="7"/>
    </row>
    <row r="230" spans="1:11" x14ac:dyDescent="0.25">
      <c r="A230">
        <v>13</v>
      </c>
      <c r="B230" s="43">
        <f t="shared" si="34"/>
        <v>153.97357673967011</v>
      </c>
      <c r="C230" s="42">
        <f t="shared" si="35"/>
        <v>43.882469370805978</v>
      </c>
      <c r="F230" s="7"/>
    </row>
    <row r="231" spans="1:11" x14ac:dyDescent="0.25">
      <c r="A231">
        <v>14</v>
      </c>
      <c r="B231" s="43">
        <f t="shared" si="34"/>
        <v>180.14908478541403</v>
      </c>
      <c r="C231" s="42">
        <f t="shared" si="35"/>
        <v>51.342489163842998</v>
      </c>
      <c r="F231" s="7"/>
    </row>
    <row r="232" spans="1:11" x14ac:dyDescent="0.25">
      <c r="A232">
        <v>15</v>
      </c>
      <c r="B232" s="43">
        <f t="shared" si="34"/>
        <v>210.7744291989344</v>
      </c>
      <c r="C232" s="42">
        <f t="shared" si="35"/>
        <v>60.070712321696298</v>
      </c>
      <c r="F232" s="7"/>
    </row>
    <row r="234" spans="1:11" x14ac:dyDescent="0.25">
      <c r="A234" s="11" t="s">
        <v>77</v>
      </c>
    </row>
    <row r="235" spans="1:11" x14ac:dyDescent="0.25">
      <c r="A235" s="11"/>
      <c r="B235" s="94"/>
      <c r="C235" s="94"/>
      <c r="D235" s="94"/>
      <c r="E235" s="94"/>
      <c r="F235" s="94"/>
      <c r="G235" s="102" t="s">
        <v>76</v>
      </c>
      <c r="H235" s="102" t="s">
        <v>75</v>
      </c>
      <c r="I235" s="94"/>
      <c r="J235" s="94"/>
      <c r="K235" s="94"/>
    </row>
    <row r="236" spans="1:11" x14ac:dyDescent="0.25">
      <c r="A236" s="96" t="s">
        <v>6</v>
      </c>
      <c r="B236" s="94"/>
      <c r="C236" s="102" t="s">
        <v>2</v>
      </c>
      <c r="D236" s="102" t="s">
        <v>3</v>
      </c>
      <c r="E236" s="94"/>
      <c r="F236" s="94"/>
      <c r="G236" s="102" t="s">
        <v>57</v>
      </c>
      <c r="H236" s="102" t="s">
        <v>57</v>
      </c>
      <c r="I236" s="94"/>
      <c r="J236" s="94"/>
      <c r="K236" s="94"/>
    </row>
    <row r="237" spans="1:11" x14ac:dyDescent="0.25">
      <c r="A237" s="96" t="s">
        <v>80</v>
      </c>
      <c r="B237" s="124">
        <f>$B$5</f>
        <v>1</v>
      </c>
      <c r="C237" s="125">
        <f>$C$5</f>
        <v>128</v>
      </c>
      <c r="D237" s="125">
        <f>$D$5</f>
        <v>2</v>
      </c>
      <c r="E237" s="126">
        <f>$E$5</f>
        <v>200</v>
      </c>
      <c r="F237" s="139">
        <f>$F$5</f>
        <v>250</v>
      </c>
      <c r="G237" s="81">
        <f>$G$5</f>
        <v>8</v>
      </c>
      <c r="H237" s="81">
        <f>$H$5</f>
        <v>0</v>
      </c>
      <c r="I237" s="127">
        <f>$I$5</f>
        <v>7</v>
      </c>
      <c r="J237" s="128">
        <f>$J$5</f>
        <v>0.75</v>
      </c>
      <c r="K237" s="128">
        <f>$K$5</f>
        <v>0.1</v>
      </c>
    </row>
    <row r="239" spans="1:11" x14ac:dyDescent="0.25">
      <c r="B239" s="1" t="s">
        <v>31</v>
      </c>
      <c r="C239" s="1" t="s">
        <v>45</v>
      </c>
      <c r="E239" s="1"/>
      <c r="F239" s="1"/>
      <c r="G239" s="1"/>
    </row>
    <row r="240" spans="1:11" x14ac:dyDescent="0.25">
      <c r="A240" s="4" t="s">
        <v>7</v>
      </c>
      <c r="B240" s="1" t="s">
        <v>35</v>
      </c>
      <c r="C240" s="1" t="s">
        <v>35</v>
      </c>
      <c r="E240" s="1"/>
      <c r="F240" s="1"/>
      <c r="G240" s="1"/>
      <c r="H240" s="1"/>
    </row>
    <row r="241" spans="1:8" x14ac:dyDescent="0.25">
      <c r="A241">
        <v>0</v>
      </c>
      <c r="B241" s="7">
        <f t="shared" ref="B241:B256" si="36">disk6*ongoingResourcePercent6*POWER(1+diskGrowth, A241)</f>
        <v>12.8</v>
      </c>
      <c r="C241" s="41">
        <f xml:space="preserve"> utxoSize</f>
        <v>3</v>
      </c>
      <c r="E241" s="7"/>
      <c r="F241" s="61"/>
      <c r="G241" s="62"/>
      <c r="H241" s="62"/>
    </row>
    <row r="242" spans="1:8" x14ac:dyDescent="0.25">
      <c r="A242">
        <v>1</v>
      </c>
      <c r="B242" s="7">
        <f t="shared" si="36"/>
        <v>16</v>
      </c>
      <c r="C242" s="61">
        <f xml:space="preserve"> C241 + MIN(C241*utxoGrowth, curMaxBlocksize*secondsPerYear/secondsPerBlock/KBperGB)</f>
        <v>4.5</v>
      </c>
      <c r="E242" s="7"/>
      <c r="F242" s="7"/>
      <c r="G242" s="13"/>
      <c r="H242" s="6"/>
    </row>
    <row r="243" spans="1:8" x14ac:dyDescent="0.25">
      <c r="A243">
        <v>2</v>
      </c>
      <c r="B243" s="7">
        <f t="shared" si="36"/>
        <v>20</v>
      </c>
      <c r="C243" s="61">
        <f xml:space="preserve"> C242 + MIN(C242*utxoGrowth, curMaxBlocksize*secondsPerYear/secondsPerBlock/KBperGB)</f>
        <v>6.75</v>
      </c>
      <c r="E243" s="7"/>
      <c r="F243" s="7"/>
      <c r="G243" s="13"/>
      <c r="H243" s="6"/>
    </row>
    <row r="244" spans="1:8" x14ac:dyDescent="0.25">
      <c r="A244">
        <v>3</v>
      </c>
      <c r="B244" s="7">
        <f t="shared" si="36"/>
        <v>25</v>
      </c>
      <c r="C244" s="61">
        <f t="shared" ref="C244:C256" si="37" xml:space="preserve"> C243 + MIN(C243*utxoGrowth, curMaxBlocksize*secondsPerYear/secondsPerBlock/KBperGB)</f>
        <v>10.125</v>
      </c>
      <c r="E244" s="7"/>
      <c r="F244" s="7"/>
      <c r="G244" s="13"/>
      <c r="H244" s="6"/>
    </row>
    <row r="245" spans="1:8" x14ac:dyDescent="0.25">
      <c r="A245">
        <v>4</v>
      </c>
      <c r="B245" s="7">
        <f t="shared" si="36"/>
        <v>31.25</v>
      </c>
      <c r="C245" s="61">
        <f t="shared" si="37"/>
        <v>15.1875</v>
      </c>
      <c r="E245" s="7"/>
      <c r="F245" s="7"/>
      <c r="G245" s="13"/>
      <c r="H245" s="6"/>
    </row>
    <row r="246" spans="1:8" x14ac:dyDescent="0.25">
      <c r="A246">
        <v>5</v>
      </c>
      <c r="B246" s="7">
        <f t="shared" si="36"/>
        <v>39.0625</v>
      </c>
      <c r="C246" s="61">
        <f t="shared" si="37"/>
        <v>22.78125</v>
      </c>
      <c r="E246" s="7"/>
      <c r="F246" s="7"/>
      <c r="G246" s="13"/>
      <c r="H246" s="6"/>
    </row>
    <row r="247" spans="1:8" x14ac:dyDescent="0.25">
      <c r="A247">
        <v>6</v>
      </c>
      <c r="B247" s="7">
        <f t="shared" si="36"/>
        <v>48.828125</v>
      </c>
      <c r="C247" s="61">
        <f t="shared" si="37"/>
        <v>34.171875</v>
      </c>
      <c r="E247" s="7"/>
      <c r="F247" s="7"/>
      <c r="G247" s="13"/>
      <c r="H247" s="6"/>
    </row>
    <row r="248" spans="1:8" x14ac:dyDescent="0.25">
      <c r="A248">
        <v>7</v>
      </c>
      <c r="B248" s="7">
        <f t="shared" si="36"/>
        <v>61.03515625</v>
      </c>
      <c r="C248" s="61">
        <f t="shared" si="37"/>
        <v>51.2578125</v>
      </c>
      <c r="E248" s="7"/>
      <c r="F248" s="7"/>
      <c r="G248" s="13"/>
      <c r="H248" s="6"/>
    </row>
    <row r="249" spans="1:8" x14ac:dyDescent="0.25">
      <c r="A249">
        <v>8</v>
      </c>
      <c r="B249" s="7">
        <f t="shared" si="36"/>
        <v>76.2939453125</v>
      </c>
      <c r="C249" s="61">
        <f t="shared" si="37"/>
        <v>76.88671875</v>
      </c>
      <c r="E249" s="7"/>
      <c r="F249" s="7"/>
      <c r="G249" s="13"/>
      <c r="H249" s="6"/>
    </row>
    <row r="250" spans="1:8" x14ac:dyDescent="0.25">
      <c r="A250">
        <v>9</v>
      </c>
      <c r="B250" s="7">
        <f t="shared" si="36"/>
        <v>95.367431640625</v>
      </c>
      <c r="C250" s="61">
        <f t="shared" si="37"/>
        <v>115.330078125</v>
      </c>
      <c r="E250" s="7"/>
      <c r="F250" s="7"/>
      <c r="G250" s="13"/>
      <c r="H250" s="6"/>
    </row>
    <row r="251" spans="1:8" x14ac:dyDescent="0.25">
      <c r="A251">
        <v>10</v>
      </c>
      <c r="B251" s="7">
        <f t="shared" si="36"/>
        <v>119.20928955078125</v>
      </c>
      <c r="C251" s="61">
        <f t="shared" si="37"/>
        <v>172.9951171875</v>
      </c>
      <c r="E251" s="7"/>
      <c r="F251" s="7"/>
      <c r="G251" s="13"/>
      <c r="H251" s="6"/>
    </row>
    <row r="252" spans="1:8" x14ac:dyDescent="0.25">
      <c r="A252">
        <v>11</v>
      </c>
      <c r="B252" s="7">
        <f t="shared" si="36"/>
        <v>149.01161193847656</v>
      </c>
      <c r="C252" s="61">
        <f t="shared" si="37"/>
        <v>259.49267578125</v>
      </c>
      <c r="E252" s="7"/>
      <c r="F252" s="7"/>
      <c r="G252" s="13"/>
      <c r="H252" s="6"/>
    </row>
    <row r="253" spans="1:8" x14ac:dyDescent="0.25">
      <c r="A253">
        <v>12</v>
      </c>
      <c r="B253" s="7">
        <f t="shared" si="36"/>
        <v>186.2645149230957</v>
      </c>
      <c r="C253" s="61">
        <f t="shared" si="37"/>
        <v>364.61267578125</v>
      </c>
      <c r="E253" s="7"/>
      <c r="F253" s="7"/>
      <c r="G253" s="13"/>
      <c r="H253" s="6"/>
    </row>
    <row r="254" spans="1:8" x14ac:dyDescent="0.25">
      <c r="A254">
        <v>13</v>
      </c>
      <c r="B254" s="7">
        <f t="shared" si="36"/>
        <v>232.83064365386963</v>
      </c>
      <c r="C254" s="61">
        <f t="shared" si="37"/>
        <v>469.73267578125001</v>
      </c>
      <c r="E254" s="7"/>
      <c r="F254" s="7"/>
      <c r="G254" s="13"/>
      <c r="H254" s="6"/>
    </row>
    <row r="255" spans="1:8" x14ac:dyDescent="0.25">
      <c r="A255">
        <v>14</v>
      </c>
      <c r="B255" s="7">
        <f t="shared" si="36"/>
        <v>291.03830456733704</v>
      </c>
      <c r="C255" s="61">
        <f t="shared" si="37"/>
        <v>574.85267578125001</v>
      </c>
      <c r="E255" s="7"/>
      <c r="F255" s="7"/>
      <c r="G255" s="13"/>
      <c r="H255" s="6"/>
    </row>
    <row r="256" spans="1:8" x14ac:dyDescent="0.25">
      <c r="A256">
        <v>15</v>
      </c>
      <c r="B256" s="7">
        <f t="shared" si="36"/>
        <v>363.7978807091713</v>
      </c>
      <c r="C256" s="61">
        <f t="shared" si="37"/>
        <v>679.97267578125002</v>
      </c>
      <c r="E256" s="7"/>
      <c r="F256" s="7"/>
      <c r="G256" s="13"/>
      <c r="H256" s="6"/>
    </row>
    <row r="258" spans="1:11" x14ac:dyDescent="0.25">
      <c r="A258" s="11" t="s">
        <v>74</v>
      </c>
    </row>
    <row r="259" spans="1:11" x14ac:dyDescent="0.25">
      <c r="A259" s="99"/>
      <c r="B259" s="94"/>
      <c r="C259" s="94"/>
      <c r="D259" s="94"/>
      <c r="E259" s="94"/>
      <c r="F259" s="94"/>
      <c r="G259" s="102" t="s">
        <v>76</v>
      </c>
      <c r="H259" s="102" t="s">
        <v>75</v>
      </c>
      <c r="I259" s="94"/>
      <c r="J259" s="94"/>
      <c r="K259" s="94"/>
    </row>
    <row r="260" spans="1:11" x14ac:dyDescent="0.25">
      <c r="A260" s="96" t="s">
        <v>6</v>
      </c>
      <c r="B260" s="94"/>
      <c r="C260" s="102" t="s">
        <v>2</v>
      </c>
      <c r="D260" s="102" t="s">
        <v>3</v>
      </c>
      <c r="E260" s="94"/>
      <c r="F260" s="94"/>
      <c r="G260" s="102" t="s">
        <v>57</v>
      </c>
      <c r="H260" s="102" t="s">
        <v>57</v>
      </c>
      <c r="I260" s="94"/>
      <c r="J260" s="94"/>
      <c r="K260" s="94"/>
    </row>
    <row r="261" spans="1:11" x14ac:dyDescent="0.25">
      <c r="A261" s="96" t="s">
        <v>81</v>
      </c>
      <c r="B261" s="124">
        <f>$B$4</f>
        <v>50</v>
      </c>
      <c r="C261" s="125">
        <f>$C$4</f>
        <v>2000</v>
      </c>
      <c r="D261" s="125">
        <f>$D$4</f>
        <v>8</v>
      </c>
      <c r="E261" s="126">
        <f>$E$4</f>
        <v>5000</v>
      </c>
      <c r="F261" s="139">
        <f>$F$4</f>
        <v>130</v>
      </c>
      <c r="G261" s="81">
        <f>$G$4</f>
        <v>8</v>
      </c>
      <c r="H261" s="81">
        <f>$H$4</f>
        <v>80</v>
      </c>
      <c r="I261" s="127">
        <f>$I$4</f>
        <v>7</v>
      </c>
      <c r="J261" s="128">
        <f>$J$4</f>
        <v>0.5</v>
      </c>
      <c r="K261" s="128">
        <f>$K$4</f>
        <v>0.1</v>
      </c>
    </row>
    <row r="263" spans="1:11" x14ac:dyDescent="0.25">
      <c r="B263" s="1" t="s">
        <v>45</v>
      </c>
      <c r="C263" s="1" t="s">
        <v>39</v>
      </c>
      <c r="D263" s="1"/>
      <c r="E263" s="1" t="s">
        <v>31</v>
      </c>
    </row>
    <row r="264" spans="1:11" x14ac:dyDescent="0.25">
      <c r="A264" s="4" t="s">
        <v>7</v>
      </c>
      <c r="B264" s="1" t="s">
        <v>35</v>
      </c>
      <c r="C264" s="1" t="s">
        <v>50</v>
      </c>
      <c r="D264" s="1" t="s">
        <v>53</v>
      </c>
      <c r="E264" s="1" t="s">
        <v>32</v>
      </c>
      <c r="F264" s="1" t="s">
        <v>20</v>
      </c>
    </row>
    <row r="265" spans="1:11" x14ac:dyDescent="0.25">
      <c r="A265">
        <v>0</v>
      </c>
      <c r="B265" s="41">
        <f xml:space="preserve"> utxoSize</f>
        <v>3</v>
      </c>
      <c r="C265" s="7">
        <f t="shared" ref="C265:C280" si="38">disk7*ongoingResourcePercent7*POWER(1+diskGrowth, A265) - B265</f>
        <v>197</v>
      </c>
      <c r="D265" s="58"/>
      <c r="E265" s="59"/>
      <c r="F265" s="59"/>
    </row>
    <row r="266" spans="1:11" x14ac:dyDescent="0.25">
      <c r="A266">
        <v>1</v>
      </c>
      <c r="B266" s="41">
        <f xml:space="preserve"> B265 + B265*utxoGrowth</f>
        <v>4.5</v>
      </c>
      <c r="C266" s="7">
        <f t="shared" si="38"/>
        <v>245.5</v>
      </c>
      <c r="D266" s="7">
        <f>C266-C265</f>
        <v>48.5</v>
      </c>
      <c r="E266" s="13">
        <f t="shared" ref="E266:E280" si="39">D266*1000*1000*secondsPerBlock/secondsPerYear</f>
        <v>922.75494672754951</v>
      </c>
      <c r="F266" s="6">
        <f>E266*1000/secondsPerBlock/avgTrSize</f>
        <v>3.2377366551843845</v>
      </c>
    </row>
    <row r="267" spans="1:11" x14ac:dyDescent="0.25">
      <c r="A267">
        <v>2</v>
      </c>
      <c r="B267" s="7">
        <f t="shared" ref="B267:B280" si="40" xml:space="preserve"> B266 + MIN(B266*utxoGrowth,D266)</f>
        <v>6.75</v>
      </c>
      <c r="C267" s="7">
        <f t="shared" si="38"/>
        <v>305.75</v>
      </c>
      <c r="D267" s="7">
        <f t="shared" ref="D267:D280" si="41">C267-C266</f>
        <v>60.25</v>
      </c>
      <c r="E267" s="13">
        <f t="shared" si="39"/>
        <v>1146.3089802130899</v>
      </c>
      <c r="F267" s="6">
        <f t="shared" ref="F267:F280" si="42">E267*1000/secondsPerBlock/avgTrSize</f>
        <v>4.0221367726775084</v>
      </c>
    </row>
    <row r="268" spans="1:11" x14ac:dyDescent="0.25">
      <c r="A268">
        <v>3</v>
      </c>
      <c r="B268" s="7">
        <f t="shared" si="40"/>
        <v>10.125</v>
      </c>
      <c r="C268" s="7">
        <f t="shared" si="38"/>
        <v>380.5</v>
      </c>
      <c r="D268" s="7">
        <f t="shared" si="41"/>
        <v>74.75</v>
      </c>
      <c r="E268" s="13">
        <f t="shared" si="39"/>
        <v>1422.1841704718418</v>
      </c>
      <c r="F268" s="6">
        <f t="shared" si="42"/>
        <v>4.9901198963924269</v>
      </c>
    </row>
    <row r="269" spans="1:11" x14ac:dyDescent="0.25">
      <c r="A269">
        <v>4</v>
      </c>
      <c r="B269" s="7">
        <f t="shared" si="40"/>
        <v>15.1875</v>
      </c>
      <c r="C269" s="7">
        <f t="shared" si="38"/>
        <v>473.09375</v>
      </c>
      <c r="D269" s="7">
        <f t="shared" si="41"/>
        <v>92.59375</v>
      </c>
      <c r="E269" s="13">
        <f t="shared" si="39"/>
        <v>1761.6771308980212</v>
      </c>
      <c r="F269" s="6">
        <f t="shared" si="42"/>
        <v>6.1813232663088469</v>
      </c>
    </row>
    <row r="270" spans="1:11" x14ac:dyDescent="0.25">
      <c r="A270">
        <v>5</v>
      </c>
      <c r="B270" s="7">
        <f t="shared" si="40"/>
        <v>22.78125</v>
      </c>
      <c r="C270" s="7">
        <f t="shared" si="38"/>
        <v>587.5703125</v>
      </c>
      <c r="D270" s="7">
        <f t="shared" si="41"/>
        <v>114.4765625</v>
      </c>
      <c r="E270" s="13">
        <f t="shared" si="39"/>
        <v>2178.0167903348556</v>
      </c>
      <c r="F270" s="6">
        <f t="shared" si="42"/>
        <v>7.6421641766135284</v>
      </c>
    </row>
    <row r="271" spans="1:11" x14ac:dyDescent="0.25">
      <c r="A271">
        <v>6</v>
      </c>
      <c r="B271" s="7">
        <f t="shared" si="40"/>
        <v>34.171875</v>
      </c>
      <c r="C271" s="7">
        <f t="shared" si="38"/>
        <v>728.767578125</v>
      </c>
      <c r="D271" s="7">
        <f t="shared" si="41"/>
        <v>141.197265625</v>
      </c>
      <c r="E271" s="13">
        <f t="shared" si="39"/>
        <v>2686.4015529870626</v>
      </c>
      <c r="F271" s="6">
        <f t="shared" si="42"/>
        <v>9.4259703613581127</v>
      </c>
    </row>
    <row r="272" spans="1:11" x14ac:dyDescent="0.25">
      <c r="A272">
        <v>7</v>
      </c>
      <c r="B272" s="7">
        <f t="shared" si="40"/>
        <v>51.2578125</v>
      </c>
      <c r="C272" s="7">
        <f t="shared" si="38"/>
        <v>902.41650390625</v>
      </c>
      <c r="D272" s="7">
        <f t="shared" si="41"/>
        <v>173.64892578125</v>
      </c>
      <c r="E272" s="13">
        <f t="shared" si="39"/>
        <v>3303.8227888365677</v>
      </c>
      <c r="F272" s="6">
        <f t="shared" si="42"/>
        <v>11.592360662584449</v>
      </c>
    </row>
    <row r="273" spans="1:11" x14ac:dyDescent="0.25">
      <c r="A273">
        <v>8</v>
      </c>
      <c r="B273" s="7">
        <f t="shared" si="40"/>
        <v>76.88671875</v>
      </c>
      <c r="C273" s="7">
        <f t="shared" si="38"/>
        <v>1115.2061767578125</v>
      </c>
      <c r="D273" s="7">
        <f t="shared" si="41"/>
        <v>212.7896728515625</v>
      </c>
      <c r="E273" s="13">
        <f t="shared" si="39"/>
        <v>4048.5097574498191</v>
      </c>
      <c r="F273" s="6">
        <f t="shared" si="42"/>
        <v>14.205297394560768</v>
      </c>
    </row>
    <row r="274" spans="1:11" x14ac:dyDescent="0.25">
      <c r="A274">
        <v>9</v>
      </c>
      <c r="B274" s="7">
        <f t="shared" si="40"/>
        <v>115.330078125</v>
      </c>
      <c r="C274" s="7">
        <f t="shared" si="38"/>
        <v>1374.7860412597656</v>
      </c>
      <c r="D274" s="7">
        <f t="shared" si="41"/>
        <v>259.57986450195312</v>
      </c>
      <c r="E274" s="13">
        <f t="shared" si="39"/>
        <v>4938.7341039184384</v>
      </c>
      <c r="F274" s="6">
        <f t="shared" si="42"/>
        <v>17.328891592696273</v>
      </c>
    </row>
    <row r="275" spans="1:11" x14ac:dyDescent="0.25">
      <c r="A275">
        <v>10</v>
      </c>
      <c r="B275" s="7">
        <f t="shared" si="40"/>
        <v>172.9951171875</v>
      </c>
      <c r="C275" s="7">
        <f t="shared" si="38"/>
        <v>1689.650032043457</v>
      </c>
      <c r="D275" s="7">
        <f t="shared" si="41"/>
        <v>314.86399078369141</v>
      </c>
      <c r="E275" s="13">
        <f t="shared" si="39"/>
        <v>5990.5629905572951</v>
      </c>
      <c r="F275" s="6">
        <f t="shared" si="42"/>
        <v>21.019519265113317</v>
      </c>
    </row>
    <row r="276" spans="1:11" x14ac:dyDescent="0.25">
      <c r="A276">
        <v>11</v>
      </c>
      <c r="B276" s="7">
        <f t="shared" si="40"/>
        <v>259.49267578125</v>
      </c>
      <c r="C276" s="7">
        <f t="shared" si="38"/>
        <v>2068.8137607574463</v>
      </c>
      <c r="D276" s="7">
        <f t="shared" si="41"/>
        <v>379.16372871398926</v>
      </c>
      <c r="E276" s="13">
        <f t="shared" si="39"/>
        <v>7213.921779185488</v>
      </c>
      <c r="F276" s="6">
        <f t="shared" si="42"/>
        <v>25.312006242756098</v>
      </c>
    </row>
    <row r="277" spans="1:11" x14ac:dyDescent="0.25">
      <c r="A277">
        <v>12</v>
      </c>
      <c r="B277" s="7">
        <f t="shared" si="40"/>
        <v>389.239013671875</v>
      </c>
      <c r="C277" s="7">
        <f t="shared" si="38"/>
        <v>2521.1440320014954</v>
      </c>
      <c r="D277" s="7">
        <f t="shared" si="41"/>
        <v>452.33027124404907</v>
      </c>
      <c r="E277" s="13">
        <f t="shared" si="39"/>
        <v>8605.9792854651641</v>
      </c>
      <c r="F277" s="6">
        <f t="shared" si="42"/>
        <v>30.196418545491802</v>
      </c>
    </row>
    <row r="278" spans="1:11" x14ac:dyDescent="0.25">
      <c r="A278">
        <v>13</v>
      </c>
      <c r="B278" s="7">
        <f t="shared" si="40"/>
        <v>583.8585205078125</v>
      </c>
      <c r="C278" s="7">
        <f t="shared" si="38"/>
        <v>3054.1202865839005</v>
      </c>
      <c r="D278" s="7">
        <f t="shared" si="41"/>
        <v>532.97625458240509</v>
      </c>
      <c r="E278" s="13">
        <f t="shared" si="39"/>
        <v>10140.339699056414</v>
      </c>
      <c r="F278" s="6">
        <f t="shared" si="42"/>
        <v>35.580139294934789</v>
      </c>
    </row>
    <row r="279" spans="1:11" x14ac:dyDescent="0.25">
      <c r="A279">
        <v>14</v>
      </c>
      <c r="B279" s="7">
        <f t="shared" si="40"/>
        <v>875.78778076171875</v>
      </c>
      <c r="C279" s="7">
        <f t="shared" si="38"/>
        <v>3671.6857281029224</v>
      </c>
      <c r="D279" s="7">
        <f t="shared" si="41"/>
        <v>617.56544151902199</v>
      </c>
      <c r="E279" s="13">
        <f t="shared" si="39"/>
        <v>11749.723012157952</v>
      </c>
      <c r="F279" s="6">
        <f t="shared" si="42"/>
        <v>41.227098288273517</v>
      </c>
    </row>
    <row r="280" spans="1:11" x14ac:dyDescent="0.25">
      <c r="A280">
        <v>15</v>
      </c>
      <c r="B280" s="7">
        <f t="shared" si="40"/>
        <v>1313.6816711425781</v>
      </c>
      <c r="C280" s="7">
        <f t="shared" si="38"/>
        <v>4370.6602149382234</v>
      </c>
      <c r="D280" s="7">
        <f t="shared" si="41"/>
        <v>698.97448683530092</v>
      </c>
      <c r="E280" s="13">
        <f t="shared" si="39"/>
        <v>13298.601347703594</v>
      </c>
      <c r="F280" s="6">
        <f t="shared" si="42"/>
        <v>46.661759114749451</v>
      </c>
    </row>
    <row r="283" spans="1:11" x14ac:dyDescent="0.25">
      <c r="A283" s="11" t="s">
        <v>48</v>
      </c>
      <c r="B283" s="37"/>
    </row>
    <row r="284" spans="1:11" s="94" customFormat="1" x14ac:dyDescent="0.25">
      <c r="A284" s="11"/>
      <c r="G284" s="102" t="s">
        <v>76</v>
      </c>
      <c r="H284" s="102" t="s">
        <v>75</v>
      </c>
    </row>
    <row r="285" spans="1:11" x14ac:dyDescent="0.25">
      <c r="A285" s="96" t="s">
        <v>6</v>
      </c>
      <c r="B285" s="94"/>
      <c r="C285" s="102" t="s">
        <v>2</v>
      </c>
      <c r="D285" s="102" t="s">
        <v>3</v>
      </c>
      <c r="E285" s="94"/>
      <c r="F285" s="94"/>
      <c r="G285" s="102" t="s">
        <v>57</v>
      </c>
      <c r="H285" s="102" t="s">
        <v>57</v>
      </c>
      <c r="I285" s="94"/>
      <c r="J285" s="94"/>
      <c r="K285" s="94"/>
    </row>
    <row r="286" spans="1:11" x14ac:dyDescent="0.25">
      <c r="A286" s="96" t="s">
        <v>80</v>
      </c>
      <c r="B286" s="124">
        <f>$B$5</f>
        <v>1</v>
      </c>
      <c r="C286" s="125">
        <f>$C$5</f>
        <v>128</v>
      </c>
      <c r="D286" s="125">
        <f>$D$5</f>
        <v>2</v>
      </c>
      <c r="E286" s="126">
        <f>$E$5</f>
        <v>200</v>
      </c>
      <c r="F286" s="139">
        <f>$F$5</f>
        <v>250</v>
      </c>
      <c r="G286" s="81">
        <f>$G$5</f>
        <v>8</v>
      </c>
      <c r="H286" s="81">
        <f>$H$5</f>
        <v>0</v>
      </c>
      <c r="I286" s="127">
        <f>$I$5</f>
        <v>7</v>
      </c>
      <c r="J286" s="128">
        <f>$J$5</f>
        <v>0.75</v>
      </c>
      <c r="K286" s="128">
        <f>$K$5</f>
        <v>0.1</v>
      </c>
    </row>
    <row r="287" spans="1:11" s="94" customFormat="1" x14ac:dyDescent="0.25">
      <c r="A287" s="96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E288" s="1" t="s">
        <v>45</v>
      </c>
    </row>
    <row r="289" spans="1:5" x14ac:dyDescent="0.25">
      <c r="B289" s="1" t="s">
        <v>44</v>
      </c>
      <c r="C289" s="1" t="s">
        <v>44</v>
      </c>
      <c r="D289" s="1" t="s">
        <v>45</v>
      </c>
      <c r="E289" s="1" t="s">
        <v>33</v>
      </c>
    </row>
    <row r="290" spans="1:5" x14ac:dyDescent="0.25">
      <c r="A290" s="4" t="s">
        <v>7</v>
      </c>
      <c r="B290" s="1" t="s">
        <v>43</v>
      </c>
      <c r="C290" s="1" t="s">
        <v>46</v>
      </c>
      <c r="D290" s="1" t="s">
        <v>35</v>
      </c>
      <c r="E290" s="1" t="s">
        <v>43</v>
      </c>
    </row>
    <row r="291" spans="1:5" x14ac:dyDescent="0.25">
      <c r="A291">
        <v>0</v>
      </c>
      <c r="B291" s="39">
        <f t="shared" ref="B291:B306" si="43">memory6p5*ongoingResourcePercent6p5*POWER(1+memoryGrowth, A291)</f>
        <v>0.2</v>
      </c>
      <c r="C291" s="7">
        <f>B291/utxoExpand/utxoMemoryPercent</f>
        <v>1.3333333333333335</v>
      </c>
      <c r="D291" s="88">
        <f xml:space="preserve"> utxoSize</f>
        <v>3</v>
      </c>
      <c r="E291" s="39">
        <f t="shared" ref="E291:E306" si="44">D291*utxoExpand*utxoMemoryPercent</f>
        <v>0.45</v>
      </c>
    </row>
    <row r="292" spans="1:5" x14ac:dyDescent="0.25">
      <c r="A292">
        <v>1</v>
      </c>
      <c r="B292" s="39">
        <f t="shared" si="43"/>
        <v>0.22999999999999998</v>
      </c>
      <c r="C292" s="7">
        <f t="shared" ref="C292:C306" si="45">B292/utxoExpand/utxoMemoryPercent</f>
        <v>1.5333333333333334</v>
      </c>
      <c r="D292" s="90">
        <f xml:space="preserve"> D291 + MIN(D291*utxoGrowth, curMaxBlocksize*secondsPerYear/secondsPerBlock/KBperGB)</f>
        <v>4.5</v>
      </c>
      <c r="E292" s="39">
        <f t="shared" si="44"/>
        <v>0.67499999999999993</v>
      </c>
    </row>
    <row r="293" spans="1:5" x14ac:dyDescent="0.25">
      <c r="A293">
        <v>2</v>
      </c>
      <c r="B293" s="39">
        <f t="shared" si="43"/>
        <v>0.26449999999999996</v>
      </c>
      <c r="C293" s="7">
        <f t="shared" si="45"/>
        <v>1.7633333333333334</v>
      </c>
      <c r="D293" s="90">
        <f xml:space="preserve"> D292 + MIN(D292*utxoGrowth, curMaxBlocksize*secondsPerYear/secondsPerBlock/KBperGB)</f>
        <v>6.75</v>
      </c>
      <c r="E293" s="39">
        <f t="shared" si="44"/>
        <v>1.0125</v>
      </c>
    </row>
    <row r="294" spans="1:5" x14ac:dyDescent="0.25">
      <c r="A294">
        <v>3</v>
      </c>
      <c r="B294" s="39">
        <f t="shared" si="43"/>
        <v>0.30417499999999992</v>
      </c>
      <c r="C294" s="7">
        <f t="shared" si="45"/>
        <v>2.0278333333333332</v>
      </c>
      <c r="D294" s="90">
        <f t="shared" ref="D294:D306" si="46" xml:space="preserve"> D293 + MIN(D293*utxoGrowth, curMaxBlocksize*secondsPerYear/secondsPerBlock/KBperGB)</f>
        <v>10.125</v>
      </c>
      <c r="E294" s="39">
        <f t="shared" si="44"/>
        <v>1.5187499999999996</v>
      </c>
    </row>
    <row r="295" spans="1:5" x14ac:dyDescent="0.25">
      <c r="A295">
        <v>4</v>
      </c>
      <c r="B295" s="39">
        <f t="shared" si="43"/>
        <v>0.3498012499999999</v>
      </c>
      <c r="C295" s="7">
        <f t="shared" si="45"/>
        <v>2.332008333333333</v>
      </c>
      <c r="D295" s="90">
        <f t="shared" si="46"/>
        <v>15.1875</v>
      </c>
      <c r="E295" s="39">
        <f t="shared" si="44"/>
        <v>2.2781249999999997</v>
      </c>
    </row>
    <row r="296" spans="1:5" x14ac:dyDescent="0.25">
      <c r="A296">
        <v>5</v>
      </c>
      <c r="B296" s="39">
        <f t="shared" si="43"/>
        <v>0.40227143749999988</v>
      </c>
      <c r="C296" s="7">
        <f t="shared" si="45"/>
        <v>2.6818095833333331</v>
      </c>
      <c r="D296" s="90">
        <f t="shared" si="46"/>
        <v>22.78125</v>
      </c>
      <c r="E296" s="39">
        <f t="shared" si="44"/>
        <v>3.4171874999999998</v>
      </c>
    </row>
    <row r="297" spans="1:5" x14ac:dyDescent="0.25">
      <c r="A297">
        <v>6</v>
      </c>
      <c r="B297" s="39">
        <f t="shared" si="43"/>
        <v>0.46261215312499981</v>
      </c>
      <c r="C297" s="7">
        <f t="shared" si="45"/>
        <v>3.0840810208333327</v>
      </c>
      <c r="D297" s="90">
        <f t="shared" si="46"/>
        <v>34.171875</v>
      </c>
      <c r="E297" s="39">
        <f t="shared" si="44"/>
        <v>5.1257812499999993</v>
      </c>
    </row>
    <row r="298" spans="1:5" x14ac:dyDescent="0.25">
      <c r="A298">
        <v>7</v>
      </c>
      <c r="B298" s="39">
        <f t="shared" si="43"/>
        <v>0.53200397609374972</v>
      </c>
      <c r="C298" s="7">
        <f t="shared" si="45"/>
        <v>3.5466931739583316</v>
      </c>
      <c r="D298" s="90">
        <f t="shared" si="46"/>
        <v>51.2578125</v>
      </c>
      <c r="E298" s="39">
        <f t="shared" si="44"/>
        <v>7.6886718749999989</v>
      </c>
    </row>
    <row r="299" spans="1:5" x14ac:dyDescent="0.25">
      <c r="A299">
        <v>8</v>
      </c>
      <c r="B299" s="39">
        <f t="shared" si="43"/>
        <v>0.61180457250781206</v>
      </c>
      <c r="C299" s="7">
        <f t="shared" si="45"/>
        <v>4.078697150052081</v>
      </c>
      <c r="D299" s="90">
        <f t="shared" si="46"/>
        <v>76.88671875</v>
      </c>
      <c r="E299" s="39">
        <f t="shared" si="44"/>
        <v>11.533007812499999</v>
      </c>
    </row>
    <row r="300" spans="1:5" x14ac:dyDescent="0.25">
      <c r="A300">
        <v>9</v>
      </c>
      <c r="B300" s="39">
        <f t="shared" si="43"/>
        <v>0.70357525838398383</v>
      </c>
      <c r="C300" s="7">
        <f t="shared" si="45"/>
        <v>4.6905017225598931</v>
      </c>
      <c r="D300" s="90">
        <f t="shared" si="46"/>
        <v>115.330078125</v>
      </c>
      <c r="E300" s="39">
        <f t="shared" si="44"/>
        <v>17.299511718750001</v>
      </c>
    </row>
    <row r="301" spans="1:5" x14ac:dyDescent="0.25">
      <c r="A301">
        <v>10</v>
      </c>
      <c r="B301" s="39">
        <f t="shared" si="43"/>
        <v>0.8091115471415814</v>
      </c>
      <c r="C301" s="7">
        <f t="shared" si="45"/>
        <v>5.3940769809438764</v>
      </c>
      <c r="D301" s="90">
        <f t="shared" si="46"/>
        <v>172.9951171875</v>
      </c>
      <c r="E301" s="39">
        <f t="shared" si="44"/>
        <v>25.949267578124996</v>
      </c>
    </row>
    <row r="302" spans="1:5" x14ac:dyDescent="0.25">
      <c r="A302">
        <v>11</v>
      </c>
      <c r="B302" s="39">
        <f t="shared" si="43"/>
        <v>0.93047827921281856</v>
      </c>
      <c r="C302" s="7">
        <f t="shared" si="45"/>
        <v>6.2031885280854571</v>
      </c>
      <c r="D302" s="90">
        <f t="shared" si="46"/>
        <v>259.49267578125</v>
      </c>
      <c r="E302" s="39">
        <f t="shared" si="44"/>
        <v>38.923901367187497</v>
      </c>
    </row>
    <row r="303" spans="1:5" x14ac:dyDescent="0.25">
      <c r="A303">
        <v>12</v>
      </c>
      <c r="B303" s="39">
        <f t="shared" si="43"/>
        <v>1.070050021094741</v>
      </c>
      <c r="C303" s="7">
        <f t="shared" si="45"/>
        <v>7.1336668072982734</v>
      </c>
      <c r="D303" s="90">
        <f t="shared" si="46"/>
        <v>364.61267578125</v>
      </c>
      <c r="E303" s="39">
        <f t="shared" si="44"/>
        <v>54.691901367187498</v>
      </c>
    </row>
    <row r="304" spans="1:5" x14ac:dyDescent="0.25">
      <c r="A304">
        <v>13</v>
      </c>
      <c r="B304" s="39">
        <f t="shared" si="43"/>
        <v>1.2305575242589524</v>
      </c>
      <c r="C304" s="7">
        <f t="shared" si="45"/>
        <v>8.2037168283930164</v>
      </c>
      <c r="D304" s="90">
        <f t="shared" si="46"/>
        <v>469.73267578125001</v>
      </c>
      <c r="E304" s="39">
        <f t="shared" si="44"/>
        <v>70.459901367187499</v>
      </c>
    </row>
    <row r="305" spans="1:11" x14ac:dyDescent="0.25">
      <c r="A305">
        <v>14</v>
      </c>
      <c r="B305" s="39">
        <f t="shared" si="43"/>
        <v>1.4151411528977951</v>
      </c>
      <c r="C305" s="7">
        <f t="shared" si="45"/>
        <v>9.4342743526519683</v>
      </c>
      <c r="D305" s="90">
        <f t="shared" si="46"/>
        <v>574.85267578125001</v>
      </c>
      <c r="E305" s="39">
        <f t="shared" si="44"/>
        <v>86.227901367187499</v>
      </c>
    </row>
    <row r="306" spans="1:11" x14ac:dyDescent="0.25">
      <c r="A306">
        <v>15</v>
      </c>
      <c r="B306" s="39">
        <f t="shared" si="43"/>
        <v>1.627412325832464</v>
      </c>
      <c r="C306" s="7">
        <f t="shared" si="45"/>
        <v>10.849415505549761</v>
      </c>
      <c r="D306" s="90">
        <f t="shared" si="46"/>
        <v>679.97267578125002</v>
      </c>
      <c r="E306" s="39">
        <f t="shared" si="44"/>
        <v>101.99590136718749</v>
      </c>
    </row>
    <row r="307" spans="1:11" s="94" customFormat="1" x14ac:dyDescent="0.25">
      <c r="B307" s="39"/>
      <c r="C307" s="7"/>
      <c r="D307" s="90"/>
      <c r="E307" s="39"/>
    </row>
    <row r="308" spans="1:11" s="94" customFormat="1" x14ac:dyDescent="0.25">
      <c r="A308" s="11" t="s">
        <v>154</v>
      </c>
      <c r="B308" s="39"/>
      <c r="C308" s="7"/>
      <c r="D308" s="90"/>
      <c r="E308" s="39"/>
    </row>
    <row r="309" spans="1:11" s="94" customFormat="1" x14ac:dyDescent="0.25">
      <c r="A309" s="11"/>
      <c r="G309" s="102" t="s">
        <v>76</v>
      </c>
      <c r="H309" s="102" t="s">
        <v>75</v>
      </c>
    </row>
    <row r="310" spans="1:11" s="94" customFormat="1" x14ac:dyDescent="0.25">
      <c r="A310" s="96" t="s">
        <v>129</v>
      </c>
      <c r="C310" s="102" t="s">
        <v>2</v>
      </c>
      <c r="D310" s="102" t="s">
        <v>3</v>
      </c>
      <c r="F310" s="102" t="s">
        <v>139</v>
      </c>
      <c r="G310" s="102" t="s">
        <v>57</v>
      </c>
      <c r="H310" s="102" t="s">
        <v>57</v>
      </c>
    </row>
    <row r="311" spans="1:11" s="94" customFormat="1" x14ac:dyDescent="0.25">
      <c r="A311" s="130" t="str">
        <f>$A$3</f>
        <v>1st %ile</v>
      </c>
      <c r="B311" s="124">
        <f>$B$3</f>
        <v>1000</v>
      </c>
      <c r="C311" s="125">
        <f>$C$3</f>
        <v>10000</v>
      </c>
      <c r="D311" s="125">
        <f>$D$3</f>
        <v>20</v>
      </c>
      <c r="E311" s="126">
        <f>$E$3</f>
        <v>20000</v>
      </c>
      <c r="F311" s="139">
        <f>$F$3</f>
        <v>90</v>
      </c>
      <c r="G311" s="81">
        <f>$G$3</f>
        <v>8</v>
      </c>
      <c r="H311" s="81">
        <f>$H$3</f>
        <v>80</v>
      </c>
      <c r="I311" s="127">
        <f>$I$3</f>
        <v>7</v>
      </c>
      <c r="J311" s="128">
        <f>$J$3</f>
        <v>0.75</v>
      </c>
      <c r="K311" s="128">
        <f>$K$3</f>
        <v>0.1</v>
      </c>
    </row>
    <row r="312" spans="1:11" s="94" customFormat="1" x14ac:dyDescent="0.25">
      <c r="A312" s="96" t="s">
        <v>81</v>
      </c>
      <c r="B312" s="124">
        <f>$B$4</f>
        <v>50</v>
      </c>
      <c r="C312" s="125">
        <f>$C$4</f>
        <v>2000</v>
      </c>
      <c r="D312" s="125">
        <f>$D$4</f>
        <v>8</v>
      </c>
      <c r="E312" s="126">
        <f>$E$4</f>
        <v>5000</v>
      </c>
      <c r="F312" s="139">
        <f>$F$4</f>
        <v>130</v>
      </c>
      <c r="G312" s="81">
        <f>$G$4</f>
        <v>8</v>
      </c>
      <c r="H312" s="81">
        <f>$H$4</f>
        <v>80</v>
      </c>
      <c r="I312" s="127">
        <f>$I$4</f>
        <v>7</v>
      </c>
      <c r="J312" s="128">
        <f>$J$4</f>
        <v>0.5</v>
      </c>
      <c r="K312" s="128">
        <f>$K$4</f>
        <v>0.1</v>
      </c>
    </row>
    <row r="313" spans="1:11" s="94" customFormat="1" x14ac:dyDescent="0.25">
      <c r="A313" s="130" t="str">
        <f>$A$5</f>
        <v>90th %ile</v>
      </c>
      <c r="B313" s="124">
        <f>$B$5</f>
        <v>1</v>
      </c>
      <c r="C313" s="125">
        <f>$C$5</f>
        <v>128</v>
      </c>
      <c r="D313" s="125">
        <f>$D$5</f>
        <v>2</v>
      </c>
      <c r="E313" s="126">
        <f>$E$5</f>
        <v>200</v>
      </c>
      <c r="F313" s="139">
        <f>$F$5</f>
        <v>250</v>
      </c>
      <c r="G313" s="81">
        <f>$G$5</f>
        <v>8</v>
      </c>
      <c r="H313" s="81">
        <f>$H$5</f>
        <v>0</v>
      </c>
      <c r="I313" s="127">
        <f>$I$5</f>
        <v>7</v>
      </c>
      <c r="J313" s="128">
        <f>$J$5</f>
        <v>0.75</v>
      </c>
      <c r="K313" s="128">
        <f>$K$5</f>
        <v>0.1</v>
      </c>
    </row>
    <row r="314" spans="1:11" s="94" customFormat="1" x14ac:dyDescent="0.25">
      <c r="B314" s="39"/>
      <c r="C314" s="7"/>
      <c r="D314" s="90"/>
      <c r="E314" s="39"/>
    </row>
    <row r="315" spans="1:11" s="94" customFormat="1" x14ac:dyDescent="0.25">
      <c r="C315" s="95" t="s">
        <v>134</v>
      </c>
      <c r="F315" s="95" t="s">
        <v>132</v>
      </c>
      <c r="G315" s="190" t="s">
        <v>132</v>
      </c>
      <c r="H315" s="167" t="s">
        <v>177</v>
      </c>
    </row>
    <row r="316" spans="1:11" s="94" customFormat="1" x14ac:dyDescent="0.25">
      <c r="B316" s="95" t="s">
        <v>138</v>
      </c>
      <c r="C316" s="95" t="s">
        <v>136</v>
      </c>
      <c r="D316" s="167"/>
      <c r="E316" s="95" t="s">
        <v>132</v>
      </c>
      <c r="F316" s="167" t="s">
        <v>170</v>
      </c>
      <c r="G316" s="190" t="s">
        <v>170</v>
      </c>
      <c r="H316" s="167" t="s">
        <v>178</v>
      </c>
    </row>
    <row r="317" spans="1:11" s="94" customFormat="1" x14ac:dyDescent="0.25">
      <c r="B317" s="95" t="s">
        <v>46</v>
      </c>
      <c r="C317" s="95" t="s">
        <v>137</v>
      </c>
      <c r="D317" s="167" t="s">
        <v>57</v>
      </c>
      <c r="E317" s="95" t="s">
        <v>135</v>
      </c>
      <c r="F317" s="95" t="s">
        <v>1</v>
      </c>
      <c r="G317" s="190" t="s">
        <v>195</v>
      </c>
      <c r="H317" s="167" t="s">
        <v>179</v>
      </c>
    </row>
    <row r="318" spans="1:11" s="94" customFormat="1" x14ac:dyDescent="0.25">
      <c r="B318" s="133">
        <v>0.25</v>
      </c>
      <c r="C318" s="136">
        <v>1E-3</v>
      </c>
      <c r="D318" s="168">
        <f>(privateConnections10thb+publicConnections10thb)</f>
        <v>88</v>
      </c>
      <c r="E318" s="169">
        <f>LOG(curUsers*1000*1000)/LOG(D318/2)</f>
        <v>4.1650715824988263</v>
      </c>
      <c r="F318" s="124">
        <f>B312</f>
        <v>50</v>
      </c>
      <c r="G318" s="126">
        <f>Throughput10thP1</f>
        <v>5000</v>
      </c>
      <c r="H318" s="101">
        <v>0.5</v>
      </c>
    </row>
    <row r="319" spans="1:11" s="94" customFormat="1" x14ac:dyDescent="0.25">
      <c r="C319" s="7"/>
      <c r="D319" s="90"/>
      <c r="E319" s="39"/>
    </row>
    <row r="320" spans="1:11" s="94" customFormat="1" x14ac:dyDescent="0.25">
      <c r="B320" s="131" t="s">
        <v>151</v>
      </c>
      <c r="D320" s="95" t="s">
        <v>140</v>
      </c>
      <c r="E320" s="167" t="s">
        <v>140</v>
      </c>
      <c r="H320" s="90"/>
      <c r="I320" s="39"/>
      <c r="J320" s="102" t="s">
        <v>152</v>
      </c>
    </row>
    <row r="321" spans="1:10" s="94" customFormat="1" x14ac:dyDescent="0.25">
      <c r="B321" s="95" t="s">
        <v>152</v>
      </c>
      <c r="C321" s="131" t="s">
        <v>141</v>
      </c>
      <c r="D321" s="95" t="s">
        <v>32</v>
      </c>
      <c r="E321" s="167" t="s">
        <v>32</v>
      </c>
      <c r="F321" s="167" t="s">
        <v>140</v>
      </c>
      <c r="G321" s="167" t="s">
        <v>30</v>
      </c>
      <c r="H321" s="131" t="s">
        <v>141</v>
      </c>
      <c r="I321" s="131" t="s">
        <v>141</v>
      </c>
      <c r="J321" s="102" t="s">
        <v>176</v>
      </c>
    </row>
    <row r="322" spans="1:10" s="94" customFormat="1" x14ac:dyDescent="0.25">
      <c r="A322" s="123" t="s">
        <v>7</v>
      </c>
      <c r="B322" s="95" t="s">
        <v>153</v>
      </c>
      <c r="C322" s="95" t="s">
        <v>144</v>
      </c>
      <c r="D322" s="167" t="s">
        <v>171</v>
      </c>
      <c r="E322" s="167" t="s">
        <v>172</v>
      </c>
      <c r="F322" s="167" t="s">
        <v>32</v>
      </c>
      <c r="G322" s="167" t="s">
        <v>68</v>
      </c>
      <c r="H322" s="95" t="s">
        <v>143</v>
      </c>
      <c r="I322" s="95" t="s">
        <v>142</v>
      </c>
      <c r="J322" s="183" t="s">
        <v>175</v>
      </c>
    </row>
    <row r="323" spans="1:10" s="94" customFormat="1" x14ac:dyDescent="0.25">
      <c r="A323" s="94">
        <v>0</v>
      </c>
      <c r="B323" s="137">
        <f>secondsPerBlock*maximumMinerAdvantage/targetMinerPercentHashpower</f>
        <v>2.4</v>
      </c>
      <c r="C323" s="176">
        <f>(((avgHops-1+5)*minLastMileLatency) + ((avgHops-1)*proximityFavoringFactor*(Latency10thP1-minLastMileLatency)+5*(Latency90thP1-minLastMileLatency))*(1-(1-POWER(1+latencyGrowth,A323))))/1000</f>
        <v>1.4794676897311649</v>
      </c>
      <c r="D323" s="109">
        <f>(B323 - C323)*(avgRelayBandwidth*ongoingResourcePercent90thP1*POWER(1+bandwidthGrowth,A323)*mbToGB*1000)/(compactBlockCompactedness+missingTransactionRate)</f>
        <v>30.280668100948521</v>
      </c>
      <c r="E323" s="109">
        <f t="shared" ref="E323:E338" si="47">(B323 - C323)*avgTrSize*(avgRelayValidationSpeed*ongoingResourcePercent90thP1*POWER(1+cpuGrowth,A323))/missingTransactionRate/1000/1000</f>
        <v>21.862642368884831</v>
      </c>
      <c r="F323" s="109">
        <f>MIN(D323,E323)</f>
        <v>21.862642368884831</v>
      </c>
      <c r="G323" s="6">
        <f t="shared" ref="G323:G338" si="48">F323*1000*1000/secondsPerBlock/avgTrSize</f>
        <v>76.711025855736253</v>
      </c>
      <c r="H323" s="140">
        <f t="shared" ref="H323:H338" si="49">F323*1000*(missingTransactionRate+compactBlockCompactedness)/(avgRelayBandwidth*ongoingResourcePercent90thP1*POWER(1+bandwidthGrowth,A323)*mbToGB*KBperGB)</f>
        <v>0.66462432801409876</v>
      </c>
      <c r="I323" s="141">
        <f t="shared" ref="I323:I338" si="50">(F323*missingTransactionRate*1000*1000/avgTrSize)/(avgRelayValidationSpeed*ongoingResourcePercent90thP1*POWER(1+cpuGrowth,A323))</f>
        <v>0.92053231026883509</v>
      </c>
      <c r="J323" s="184">
        <f>MAX(H323,I323)+C323</f>
        <v>2.4</v>
      </c>
    </row>
    <row r="324" spans="1:10" s="94" customFormat="1" x14ac:dyDescent="0.25">
      <c r="A324" s="94">
        <v>1</v>
      </c>
      <c r="B324" s="137">
        <f>secondsPerBlock*maximumMinerAdvantage/targetMinerPercentHashpower</f>
        <v>2.4</v>
      </c>
      <c r="C324" s="176">
        <f t="shared" ref="C324:C338" si="51">(((avgHops-1+5)*minLastMileLatency) + ((avgHops-1)*proximityFavoringFactor*(Latency10thP1-minLastMileLatency)+5*(Latency90thP1-minLastMileLatency))*(1-(1-POWER(1+latencyGrowth,A324))))/1000</f>
        <v>1.4387579412513545</v>
      </c>
      <c r="D324" s="109">
        <f t="shared" ref="D323:D338" si="52">(B324 - C324)*(avgRelayBandwidth*ongoingResourcePercent90thP1*POWER(1+bandwidthGrowth,A324)*mbToGB*1000)/(compactBlockCompactedness+missingTransactionRate)</f>
        <v>39.524755705125223</v>
      </c>
      <c r="E324" s="109">
        <f t="shared" si="47"/>
        <v>26.710513707477983</v>
      </c>
      <c r="F324" s="109">
        <f t="shared" ref="F324:F338" si="53">MIN(D324,E324)</f>
        <v>26.710513707477983</v>
      </c>
      <c r="G324" s="6">
        <f t="shared" si="48"/>
        <v>93.721100727992919</v>
      </c>
      <c r="H324" s="140">
        <f t="shared" si="49"/>
        <v>0.64959969336586454</v>
      </c>
      <c r="I324" s="141">
        <f t="shared" si="50"/>
        <v>0.96124205874864532</v>
      </c>
      <c r="J324" s="184">
        <f t="shared" ref="J324:J338" si="54">MAX(H324,I324)+C324</f>
        <v>2.4</v>
      </c>
    </row>
    <row r="325" spans="1:10" s="94" customFormat="1" x14ac:dyDescent="0.25">
      <c r="A325" s="94">
        <v>2</v>
      </c>
      <c r="B325" s="137">
        <f t="shared" ref="B325:B338" si="55">secondsPerBlock*maximumMinerAdvantage/targetMinerPercentHashpower</f>
        <v>2.4</v>
      </c>
      <c r="C325" s="176">
        <f t="shared" si="51"/>
        <v>1.3992694852259382</v>
      </c>
      <c r="D325" s="109">
        <f t="shared" si="52"/>
        <v>51.435573333370769</v>
      </c>
      <c r="E325" s="109">
        <f t="shared" si="47"/>
        <v>32.535125039762555</v>
      </c>
      <c r="F325" s="109">
        <f t="shared" si="53"/>
        <v>32.535125039762555</v>
      </c>
      <c r="G325" s="6">
        <f t="shared" si="48"/>
        <v>114.15833347285108</v>
      </c>
      <c r="H325" s="140">
        <f t="shared" si="49"/>
        <v>0.63300339277362028</v>
      </c>
      <c r="I325" s="141">
        <f t="shared" si="50"/>
        <v>1.0007305147740617</v>
      </c>
      <c r="J325" s="184">
        <f t="shared" si="54"/>
        <v>2.4</v>
      </c>
    </row>
    <row r="326" spans="1:10" s="94" customFormat="1" x14ac:dyDescent="0.25">
      <c r="A326" s="94">
        <v>3</v>
      </c>
      <c r="B326" s="137">
        <f t="shared" si="55"/>
        <v>2.4</v>
      </c>
      <c r="C326" s="176">
        <f t="shared" si="51"/>
        <v>1.3609656828812844</v>
      </c>
      <c r="D326" s="109">
        <f t="shared" si="52"/>
        <v>66.755391467845101</v>
      </c>
      <c r="E326" s="109">
        <f t="shared" si="47"/>
        <v>39.523108156407105</v>
      </c>
      <c r="F326" s="109">
        <f t="shared" si="53"/>
        <v>39.523108156407105</v>
      </c>
      <c r="G326" s="6">
        <f t="shared" si="48"/>
        <v>138.67757247862141</v>
      </c>
      <c r="H326" s="140">
        <f t="shared" si="49"/>
        <v>0.61516927383284536</v>
      </c>
      <c r="I326" s="141">
        <f t="shared" si="50"/>
        <v>1.0390343171187155</v>
      </c>
      <c r="J326" s="184">
        <f t="shared" si="54"/>
        <v>2.4</v>
      </c>
    </row>
    <row r="327" spans="1:10" s="94" customFormat="1" x14ac:dyDescent="0.25">
      <c r="A327" s="94">
        <v>4</v>
      </c>
      <c r="B327" s="137">
        <f t="shared" si="55"/>
        <v>2.4</v>
      </c>
      <c r="C327" s="176">
        <f t="shared" si="51"/>
        <v>1.3238109946069705</v>
      </c>
      <c r="D327" s="109">
        <f t="shared" si="52"/>
        <v>86.428110656178475</v>
      </c>
      <c r="E327" s="109">
        <f t="shared" si="47"/>
        <v>47.895599302779679</v>
      </c>
      <c r="F327" s="109">
        <f t="shared" si="53"/>
        <v>47.895599302779679</v>
      </c>
      <c r="G327" s="6">
        <f t="shared" si="48"/>
        <v>168.05473439571819</v>
      </c>
      <c r="H327" s="140">
        <f t="shared" si="49"/>
        <v>0.59638833922232415</v>
      </c>
      <c r="I327" s="141">
        <f t="shared" si="50"/>
        <v>1.0761890053930292</v>
      </c>
      <c r="J327" s="184">
        <f t="shared" si="54"/>
        <v>2.3999999999999995</v>
      </c>
    </row>
    <row r="328" spans="1:10" s="94" customFormat="1" x14ac:dyDescent="0.25">
      <c r="A328" s="94">
        <v>5</v>
      </c>
      <c r="B328" s="137">
        <f t="shared" si="55"/>
        <v>2.4</v>
      </c>
      <c r="C328" s="176">
        <f t="shared" si="51"/>
        <v>1.2877709469808858</v>
      </c>
      <c r="D328" s="109">
        <f t="shared" si="52"/>
        <v>111.65308229738679</v>
      </c>
      <c r="E328" s="109">
        <f t="shared" si="47"/>
        <v>57.914479560330392</v>
      </c>
      <c r="F328" s="109">
        <f t="shared" si="53"/>
        <v>57.914479560330392</v>
      </c>
      <c r="G328" s="6">
        <f t="shared" si="48"/>
        <v>203.2087002116856</v>
      </c>
      <c r="H328" s="140">
        <f t="shared" si="49"/>
        <v>0.57691346653480347</v>
      </c>
      <c r="I328" s="141">
        <f t="shared" si="50"/>
        <v>1.1122290530191141</v>
      </c>
      <c r="J328" s="184">
        <f t="shared" si="54"/>
        <v>2.4</v>
      </c>
    </row>
    <row r="329" spans="1:10" s="94" customFormat="1" x14ac:dyDescent="0.25">
      <c r="A329" s="94">
        <v>6</v>
      </c>
      <c r="B329" s="137">
        <f t="shared" si="55"/>
        <v>2.4</v>
      </c>
      <c r="C329" s="176">
        <f t="shared" si="51"/>
        <v>1.2528121007835837</v>
      </c>
      <c r="D329" s="109">
        <f t="shared" si="52"/>
        <v>143.95310994404443</v>
      </c>
      <c r="E329" s="109">
        <f t="shared" si="47"/>
        <v>69.889726629597661</v>
      </c>
      <c r="F329" s="109">
        <f t="shared" si="53"/>
        <v>69.889726629597661</v>
      </c>
      <c r="G329" s="6">
        <f t="shared" si="48"/>
        <v>245.22711098104443</v>
      </c>
      <c r="H329" s="140">
        <f t="shared" si="49"/>
        <v>0.55696364392671316</v>
      </c>
      <c r="I329" s="141">
        <f t="shared" si="50"/>
        <v>1.1471878992164162</v>
      </c>
      <c r="J329" s="184">
        <f t="shared" si="54"/>
        <v>2.4</v>
      </c>
    </row>
    <row r="330" spans="1:10" s="94" customFormat="1" x14ac:dyDescent="0.25">
      <c r="A330" s="94">
        <v>7</v>
      </c>
      <c r="B330" s="137">
        <f t="shared" si="55"/>
        <v>2.4</v>
      </c>
      <c r="C330" s="176">
        <f t="shared" si="51"/>
        <v>1.2189020199722007</v>
      </c>
      <c r="D330" s="109">
        <f t="shared" si="52"/>
        <v>185.26033038023257</v>
      </c>
      <c r="E330" s="109">
        <f t="shared" si="47"/>
        <v>84.188073770527453</v>
      </c>
      <c r="F330" s="109">
        <f t="shared" si="53"/>
        <v>84.188073770527453</v>
      </c>
      <c r="G330" s="6">
        <f t="shared" si="48"/>
        <v>295.39675007202612</v>
      </c>
      <c r="H330" s="140">
        <f t="shared" si="49"/>
        <v>0.53672776934338795</v>
      </c>
      <c r="I330" s="141">
        <f t="shared" si="50"/>
        <v>1.181097980027799</v>
      </c>
      <c r="J330" s="184">
        <f t="shared" si="54"/>
        <v>2.3999999999999995</v>
      </c>
    </row>
    <row r="331" spans="1:10" s="94" customFormat="1" x14ac:dyDescent="0.25">
      <c r="A331" s="94">
        <v>8</v>
      </c>
      <c r="B331" s="137">
        <f t="shared" si="55"/>
        <v>2.4</v>
      </c>
      <c r="C331" s="176">
        <f t="shared" si="51"/>
        <v>1.1860092415851591</v>
      </c>
      <c r="D331" s="109">
        <f t="shared" si="52"/>
        <v>238.02463130238044</v>
      </c>
      <c r="E331" s="109">
        <f t="shared" si="47"/>
        <v>101.24320585393019</v>
      </c>
      <c r="F331" s="109">
        <f t="shared" si="53"/>
        <v>101.24320585393019</v>
      </c>
      <c r="G331" s="6">
        <f t="shared" si="48"/>
        <v>355.23931878572</v>
      </c>
      <c r="H331" s="140">
        <f t="shared" si="49"/>
        <v>0.51636805647573081</v>
      </c>
      <c r="I331" s="141">
        <f t="shared" si="50"/>
        <v>1.2139907584148408</v>
      </c>
      <c r="J331" s="184">
        <f t="shared" si="54"/>
        <v>2.4</v>
      </c>
    </row>
    <row r="332" spans="1:10" s="94" customFormat="1" x14ac:dyDescent="0.25">
      <c r="A332" s="94">
        <v>9</v>
      </c>
      <c r="B332" s="137">
        <f t="shared" si="55"/>
        <v>2.4</v>
      </c>
      <c r="C332" s="176">
        <f t="shared" si="51"/>
        <v>1.1541032465497287</v>
      </c>
      <c r="D332" s="109">
        <f t="shared" si="52"/>
        <v>305.35046634957178</v>
      </c>
      <c r="E332" s="109">
        <f t="shared" si="47"/>
        <v>121.56776261378288</v>
      </c>
      <c r="F332" s="109">
        <f t="shared" si="53"/>
        <v>121.56776261378288</v>
      </c>
      <c r="G332" s="6">
        <f t="shared" si="48"/>
        <v>426.55355303081717</v>
      </c>
      <c r="H332" s="140">
        <f t="shared" si="49"/>
        <v>0.49602308644038445</v>
      </c>
      <c r="I332" s="141">
        <f t="shared" si="50"/>
        <v>1.245896753450271</v>
      </c>
      <c r="J332" s="184">
        <f t="shared" si="54"/>
        <v>2.3999999999999995</v>
      </c>
    </row>
    <row r="333" spans="1:10" s="94" customFormat="1" x14ac:dyDescent="0.25">
      <c r="A333" s="94">
        <v>10</v>
      </c>
      <c r="B333" s="137">
        <f t="shared" si="55"/>
        <v>2.4</v>
      </c>
      <c r="C333" s="176">
        <f t="shared" si="51"/>
        <v>1.1231544313653614</v>
      </c>
      <c r="D333" s="109">
        <f t="shared" si="52"/>
        <v>391.16944156815009</v>
      </c>
      <c r="E333" s="109">
        <f t="shared" si="47"/>
        <v>145.76746628986655</v>
      </c>
      <c r="F333" s="109">
        <f t="shared" si="53"/>
        <v>145.76746628986655</v>
      </c>
      <c r="G333" s="6">
        <f t="shared" si="48"/>
        <v>511.46479399953171</v>
      </c>
      <c r="H333" s="140">
        <f t="shared" si="49"/>
        <v>0.47581054040717702</v>
      </c>
      <c r="I333" s="141">
        <f t="shared" si="50"/>
        <v>1.2768455686346385</v>
      </c>
      <c r="J333" s="184">
        <f t="shared" si="54"/>
        <v>2.4</v>
      </c>
    </row>
    <row r="334" spans="1:10" s="94" customFormat="1" x14ac:dyDescent="0.25">
      <c r="A334" s="94">
        <v>11</v>
      </c>
      <c r="B334" s="137">
        <f t="shared" si="55"/>
        <v>2.4</v>
      </c>
      <c r="C334" s="176">
        <f t="shared" si="51"/>
        <v>1.0931340806365248</v>
      </c>
      <c r="D334" s="109">
        <f t="shared" si="52"/>
        <v>500.45794930049999</v>
      </c>
      <c r="E334" s="109">
        <f t="shared" si="47"/>
        <v>174.55774611676622</v>
      </c>
      <c r="F334" s="109">
        <f t="shared" si="53"/>
        <v>174.55774611676622</v>
      </c>
      <c r="G334" s="6">
        <f t="shared" si="48"/>
        <v>612.48331970795164</v>
      </c>
      <c r="H334" s="140">
        <f t="shared" si="49"/>
        <v>0.45582964498766892</v>
      </c>
      <c r="I334" s="141">
        <f t="shared" si="50"/>
        <v>1.3068659193634751</v>
      </c>
      <c r="J334" s="184">
        <f t="shared" si="54"/>
        <v>2.4</v>
      </c>
    </row>
    <row r="335" spans="1:10" s="94" customFormat="1" x14ac:dyDescent="0.25">
      <c r="A335" s="94">
        <v>12</v>
      </c>
      <c r="B335" s="137">
        <f t="shared" si="55"/>
        <v>2.4</v>
      </c>
      <c r="C335" s="176">
        <f t="shared" si="51"/>
        <v>1.0640143404295537</v>
      </c>
      <c r="D335" s="109">
        <f t="shared" si="52"/>
        <v>639.5115152757536</v>
      </c>
      <c r="E335" s="109">
        <f t="shared" si="47"/>
        <v>208.78329695846199</v>
      </c>
      <c r="F335" s="109">
        <f t="shared" si="53"/>
        <v>208.78329695846199</v>
      </c>
      <c r="G335" s="6">
        <f t="shared" si="48"/>
        <v>732.57297178407714</v>
      </c>
      <c r="H335" s="140">
        <f t="shared" si="49"/>
        <v>0.43616335911335319</v>
      </c>
      <c r="I335" s="141">
        <f t="shared" si="50"/>
        <v>1.335985659570446</v>
      </c>
      <c r="J335" s="184">
        <f t="shared" si="54"/>
        <v>2.3999999999999995</v>
      </c>
    </row>
    <row r="336" spans="1:10" s="94" customFormat="1" x14ac:dyDescent="0.25">
      <c r="A336" s="94">
        <v>13</v>
      </c>
      <c r="B336" s="137">
        <f t="shared" si="55"/>
        <v>2.4</v>
      </c>
      <c r="C336" s="176">
        <f t="shared" si="51"/>
        <v>1.0357681924287916</v>
      </c>
      <c r="D336" s="109">
        <f t="shared" si="52"/>
        <v>816.29052695797293</v>
      </c>
      <c r="E336" s="109">
        <f t="shared" si="47"/>
        <v>249.44108546009511</v>
      </c>
      <c r="F336" s="109">
        <f t="shared" si="53"/>
        <v>249.44108546009511</v>
      </c>
      <c r="G336" s="6">
        <f t="shared" si="48"/>
        <v>875.23187880735122</v>
      </c>
      <c r="H336" s="140">
        <f t="shared" si="49"/>
        <v>0.41688032834083105</v>
      </c>
      <c r="I336" s="141">
        <f t="shared" si="50"/>
        <v>1.3642318075712081</v>
      </c>
      <c r="J336" s="184">
        <f t="shared" si="54"/>
        <v>2.3999999999999995</v>
      </c>
    </row>
    <row r="337" spans="1:10" s="94" customFormat="1" x14ac:dyDescent="0.25">
      <c r="A337" s="94">
        <v>14</v>
      </c>
      <c r="B337" s="137">
        <f t="shared" si="55"/>
        <v>2.4</v>
      </c>
      <c r="C337" s="176">
        <f t="shared" si="51"/>
        <v>1.008369428868052</v>
      </c>
      <c r="D337" s="109">
        <f t="shared" si="52"/>
        <v>1040.8557822941948</v>
      </c>
      <c r="E337" s="109">
        <f t="shared" si="47"/>
        <v>297.70740632672789</v>
      </c>
      <c r="F337" s="109">
        <f t="shared" si="53"/>
        <v>297.70740632672789</v>
      </c>
      <c r="G337" s="6">
        <f t="shared" si="48"/>
        <v>1044.5873906200979</v>
      </c>
      <c r="H337" s="140">
        <f t="shared" si="49"/>
        <v>0.39803662999642631</v>
      </c>
      <c r="I337" s="141">
        <f t="shared" si="50"/>
        <v>1.3916305711319481</v>
      </c>
      <c r="J337" s="184">
        <f t="shared" si="54"/>
        <v>2.4000000000000004</v>
      </c>
    </row>
    <row r="338" spans="1:10" s="94" customFormat="1" x14ac:dyDescent="0.25">
      <c r="A338" s="94">
        <v>15</v>
      </c>
      <c r="B338" s="137">
        <f t="shared" si="55"/>
        <v>2.4</v>
      </c>
      <c r="C338" s="176">
        <f t="shared" si="51"/>
        <v>0.98179262821413504</v>
      </c>
      <c r="D338" s="109">
        <f t="shared" si="52"/>
        <v>1325.9170339787763</v>
      </c>
      <c r="E338" s="109">
        <f t="shared" si="47"/>
        <v>354.96969601274031</v>
      </c>
      <c r="F338" s="109">
        <f t="shared" si="53"/>
        <v>354.96969601274031</v>
      </c>
      <c r="G338" s="6">
        <f t="shared" si="48"/>
        <v>1245.5077053078608</v>
      </c>
      <c r="H338" s="140">
        <f t="shared" si="49"/>
        <v>0.37967733028906392</v>
      </c>
      <c r="I338" s="141">
        <f t="shared" si="50"/>
        <v>1.418207371785865</v>
      </c>
      <c r="J338" s="184">
        <f t="shared" si="54"/>
        <v>2.4</v>
      </c>
    </row>
    <row r="339" spans="1:10" s="94" customFormat="1" x14ac:dyDescent="0.25">
      <c r="B339" s="137"/>
      <c r="C339" s="9"/>
      <c r="D339" s="141"/>
      <c r="E339" s="140"/>
      <c r="F339" s="140"/>
      <c r="G339" s="142"/>
    </row>
    <row r="340" spans="1:10" s="94" customFormat="1" x14ac:dyDescent="0.25">
      <c r="A340"/>
      <c r="B340" s="151"/>
      <c r="C340" s="152" t="s">
        <v>150</v>
      </c>
      <c r="D340" s="95"/>
      <c r="E340" s="151"/>
      <c r="F340" s="159"/>
      <c r="G340" s="152" t="s">
        <v>141</v>
      </c>
      <c r="H340" s="95"/>
      <c r="I340" s="151"/>
      <c r="J340" s="161" t="s">
        <v>141</v>
      </c>
    </row>
    <row r="341" spans="1:10" s="94" customFormat="1" x14ac:dyDescent="0.25">
      <c r="A341"/>
      <c r="B341" s="153" t="s">
        <v>130</v>
      </c>
      <c r="C341" s="154" t="s">
        <v>130</v>
      </c>
      <c r="D341" s="95"/>
      <c r="E341" s="153" t="s">
        <v>32</v>
      </c>
      <c r="F341" s="160" t="s">
        <v>101</v>
      </c>
      <c r="G341" s="154" t="s">
        <v>142</v>
      </c>
      <c r="H341" s="95"/>
      <c r="I341" s="153" t="s">
        <v>32</v>
      </c>
      <c r="J341" s="154" t="s">
        <v>143</v>
      </c>
    </row>
    <row r="342" spans="1:10" s="94" customFormat="1" x14ac:dyDescent="0.25">
      <c r="A342"/>
      <c r="B342" s="155">
        <v>40</v>
      </c>
      <c r="C342" s="156">
        <f>(avgHops-1+5)*B342/1000</f>
        <v>0.32660286329995303</v>
      </c>
      <c r="D342"/>
      <c r="E342" s="162">
        <v>2000</v>
      </c>
      <c r="F342" s="164">
        <v>100</v>
      </c>
      <c r="G342" s="156">
        <f>(E342*missingTransactionRate*1000/avgTrSize)/(F342*ongoingResourcePercent90thP1)</f>
        <v>4.2105263157894743</v>
      </c>
      <c r="H342"/>
      <c r="I342" s="162">
        <v>1000</v>
      </c>
      <c r="J342" s="156">
        <f>I342*(missingTransactionRate+compactBlockCompactedness)/(avgRelayBandwidth*0.1*mbToGB*KBperGB)</f>
        <v>3.04E-2</v>
      </c>
    </row>
    <row r="343" spans="1:10" s="94" customFormat="1" x14ac:dyDescent="0.25">
      <c r="A343"/>
      <c r="B343" s="155">
        <v>60</v>
      </c>
      <c r="C343" s="156">
        <f t="shared" ref="C343:C352" si="56">(avgHops-1+5)*B343/1000</f>
        <v>0.48990429494992954</v>
      </c>
      <c r="D343"/>
      <c r="E343" s="162">
        <v>2000</v>
      </c>
      <c r="F343" s="164">
        <v>200</v>
      </c>
      <c r="G343" s="156">
        <f t="shared" ref="G343:G352" si="57">(E343*missingTransactionRate*1000/avgTrSize)/(F343*ongoingResourcePercent90thP1)</f>
        <v>2.1052631578947372</v>
      </c>
      <c r="H343"/>
      <c r="I343" s="162">
        <v>5000</v>
      </c>
      <c r="J343" s="156">
        <f t="shared" ref="J343:J352" si="58">I343*(missingTransactionRate+compactBlockCompactedness)/(avgRelayBandwidth*0.1*mbToGB*KBperGB)</f>
        <v>0.152</v>
      </c>
    </row>
    <row r="344" spans="1:10" s="94" customFormat="1" x14ac:dyDescent="0.25">
      <c r="A344"/>
      <c r="B344" s="155">
        <v>80</v>
      </c>
      <c r="C344" s="156">
        <f t="shared" si="56"/>
        <v>0.65320572659990606</v>
      </c>
      <c r="D344"/>
      <c r="E344" s="162">
        <v>2000</v>
      </c>
      <c r="F344" s="164">
        <v>500</v>
      </c>
      <c r="G344" s="156">
        <f t="shared" si="57"/>
        <v>0.8421052631578948</v>
      </c>
      <c r="H344"/>
      <c r="I344" s="162">
        <v>10000</v>
      </c>
      <c r="J344" s="156">
        <f t="shared" si="58"/>
        <v>0.30399999999999999</v>
      </c>
    </row>
    <row r="345" spans="1:10" s="94" customFormat="1" x14ac:dyDescent="0.25">
      <c r="A345"/>
      <c r="B345" s="155">
        <v>100</v>
      </c>
      <c r="C345" s="156">
        <f t="shared" si="56"/>
        <v>0.81650715824988251</v>
      </c>
      <c r="D345"/>
      <c r="E345" s="162">
        <v>2000</v>
      </c>
      <c r="F345" s="164">
        <v>1000</v>
      </c>
      <c r="G345" s="156">
        <f t="shared" si="57"/>
        <v>0.4210526315789474</v>
      </c>
      <c r="H345"/>
      <c r="I345" s="162">
        <v>15000</v>
      </c>
      <c r="J345" s="156">
        <f t="shared" si="58"/>
        <v>0.45600000000000002</v>
      </c>
    </row>
    <row r="346" spans="1:10" s="94" customFormat="1" x14ac:dyDescent="0.25">
      <c r="A346"/>
      <c r="B346" s="155">
        <v>120</v>
      </c>
      <c r="C346" s="156">
        <f t="shared" si="56"/>
        <v>0.97980858989985908</v>
      </c>
      <c r="D346"/>
      <c r="E346" s="163">
        <v>2000</v>
      </c>
      <c r="F346" s="165">
        <v>2000</v>
      </c>
      <c r="G346" s="158">
        <f t="shared" si="57"/>
        <v>0.2105263157894737</v>
      </c>
      <c r="H346"/>
      <c r="I346" s="162">
        <v>20000</v>
      </c>
      <c r="J346" s="156">
        <f t="shared" si="58"/>
        <v>0.60799999999999998</v>
      </c>
    </row>
    <row r="347" spans="1:10" s="94" customFormat="1" x14ac:dyDescent="0.25">
      <c r="A347"/>
      <c r="B347" s="155">
        <v>140</v>
      </c>
      <c r="C347" s="156">
        <f t="shared" si="56"/>
        <v>1.1431100215498355</v>
      </c>
      <c r="D347"/>
      <c r="E347" s="162">
        <v>20000</v>
      </c>
      <c r="F347" s="164">
        <v>5000</v>
      </c>
      <c r="G347" s="156">
        <f t="shared" si="57"/>
        <v>0.84210526315789469</v>
      </c>
      <c r="H347"/>
      <c r="I347" s="162">
        <v>25000</v>
      </c>
      <c r="J347" s="156">
        <f t="shared" si="58"/>
        <v>0.76</v>
      </c>
    </row>
    <row r="348" spans="1:10" s="94" customFormat="1" x14ac:dyDescent="0.25">
      <c r="A348"/>
      <c r="B348" s="155">
        <v>160</v>
      </c>
      <c r="C348" s="156">
        <f t="shared" si="56"/>
        <v>1.3064114531998121</v>
      </c>
      <c r="D348"/>
      <c r="E348" s="162">
        <v>20000</v>
      </c>
      <c r="F348" s="164">
        <v>10000</v>
      </c>
      <c r="G348" s="156">
        <f t="shared" si="57"/>
        <v>0.42105263157894735</v>
      </c>
      <c r="H348"/>
      <c r="I348" s="162">
        <v>30000</v>
      </c>
      <c r="J348" s="156">
        <f t="shared" si="58"/>
        <v>0.91200000000000003</v>
      </c>
    </row>
    <row r="349" spans="1:10" s="94" customFormat="1" x14ac:dyDescent="0.25">
      <c r="A349"/>
      <c r="B349" s="155">
        <v>180</v>
      </c>
      <c r="C349" s="156">
        <f t="shared" si="56"/>
        <v>1.4697128848497887</v>
      </c>
      <c r="D349"/>
      <c r="E349" s="162">
        <v>20000</v>
      </c>
      <c r="F349" s="164">
        <v>20000</v>
      </c>
      <c r="G349" s="156">
        <f t="shared" si="57"/>
        <v>0.21052631578947367</v>
      </c>
      <c r="H349"/>
      <c r="I349" s="162">
        <v>35000</v>
      </c>
      <c r="J349" s="156">
        <f t="shared" si="58"/>
        <v>1.0640000000000001</v>
      </c>
    </row>
    <row r="350" spans="1:10" s="94" customFormat="1" x14ac:dyDescent="0.25">
      <c r="A350"/>
      <c r="B350" s="155">
        <v>200</v>
      </c>
      <c r="C350" s="156">
        <f t="shared" si="56"/>
        <v>1.633014316499765</v>
      </c>
      <c r="D350"/>
      <c r="E350" s="162">
        <v>20000</v>
      </c>
      <c r="F350" s="164">
        <v>50000</v>
      </c>
      <c r="G350" s="156">
        <f t="shared" si="57"/>
        <v>8.4210526315789472E-2</v>
      </c>
      <c r="H350"/>
      <c r="I350" s="162">
        <v>40000</v>
      </c>
      <c r="J350" s="156">
        <f t="shared" si="58"/>
        <v>1.216</v>
      </c>
    </row>
    <row r="351" spans="1:10" s="94" customFormat="1" x14ac:dyDescent="0.25">
      <c r="A351"/>
      <c r="B351" s="155">
        <v>220</v>
      </c>
      <c r="C351" s="156">
        <f t="shared" si="56"/>
        <v>1.7963157481497414</v>
      </c>
      <c r="D351"/>
      <c r="E351" s="162">
        <v>20000</v>
      </c>
      <c r="F351" s="164">
        <v>100000</v>
      </c>
      <c r="G351" s="156">
        <f t="shared" si="57"/>
        <v>4.2105263157894736E-2</v>
      </c>
      <c r="H351"/>
      <c r="I351" s="162">
        <v>45000</v>
      </c>
      <c r="J351" s="156">
        <f t="shared" si="58"/>
        <v>1.3680000000000001</v>
      </c>
    </row>
    <row r="352" spans="1:10" s="94" customFormat="1" x14ac:dyDescent="0.25">
      <c r="A352"/>
      <c r="B352" s="157">
        <v>240</v>
      </c>
      <c r="C352" s="158">
        <f t="shared" si="56"/>
        <v>1.9596171797997182</v>
      </c>
      <c r="D352"/>
      <c r="E352" s="163">
        <v>20000</v>
      </c>
      <c r="F352" s="165">
        <v>200000</v>
      </c>
      <c r="G352" s="158">
        <f t="shared" si="57"/>
        <v>2.1052631578947368E-2</v>
      </c>
      <c r="H352"/>
      <c r="I352" s="163">
        <v>50000</v>
      </c>
      <c r="J352" s="158">
        <f t="shared" si="58"/>
        <v>1.52</v>
      </c>
    </row>
    <row r="353" spans="1:10" s="94" customFormat="1" x14ac:dyDescent="0.25">
      <c r="B353" s="39"/>
      <c r="C353" s="7"/>
      <c r="D353" s="90"/>
      <c r="E353" s="39"/>
    </row>
    <row r="354" spans="1:10" s="94" customFormat="1" x14ac:dyDescent="0.25">
      <c r="A354" s="11" t="s">
        <v>168</v>
      </c>
      <c r="B354" s="39"/>
      <c r="C354" s="7"/>
      <c r="D354" s="90"/>
      <c r="E354" s="39"/>
    </row>
    <row r="355" spans="1:10" s="94" customFormat="1" x14ac:dyDescent="0.25">
      <c r="A355" s="170"/>
      <c r="B355" s="170"/>
      <c r="C355" s="170"/>
      <c r="F355" s="95"/>
      <c r="H355" s="95"/>
    </row>
    <row r="356" spans="1:10" s="94" customFormat="1" x14ac:dyDescent="0.25">
      <c r="A356" s="95" t="s">
        <v>161</v>
      </c>
      <c r="B356" s="167" t="s">
        <v>180</v>
      </c>
      <c r="C356" s="95" t="s">
        <v>132</v>
      </c>
      <c r="D356"/>
      <c r="E356"/>
      <c r="F356"/>
      <c r="G356"/>
      <c r="H356"/>
    </row>
    <row r="357" spans="1:10" s="94" customFormat="1" x14ac:dyDescent="0.25">
      <c r="A357" s="131" t="s">
        <v>162</v>
      </c>
      <c r="B357" s="167" t="s">
        <v>57</v>
      </c>
      <c r="C357" s="95" t="s">
        <v>135</v>
      </c>
      <c r="D357"/>
      <c r="E357" s="178"/>
      <c r="F357"/>
      <c r="G357"/>
      <c r="H357"/>
    </row>
    <row r="358" spans="1:10" s="94" customFormat="1" x14ac:dyDescent="0.25">
      <c r="A358" s="100">
        <v>0.5</v>
      </c>
      <c r="B358" s="168">
        <f>(1-sybilPercenta)*(privateConnections10thb+publicConnections10thb)</f>
        <v>44</v>
      </c>
      <c r="C358" s="185">
        <f>LOG(curUsers*1000*1000)/LOG(B358/2)</f>
        <v>5.0990631622983127</v>
      </c>
      <c r="D358"/>
      <c r="E358"/>
      <c r="F358"/>
      <c r="G358"/>
      <c r="H358"/>
    </row>
    <row r="359" spans="1:10" s="94" customFormat="1" x14ac:dyDescent="0.25">
      <c r="C359" s="7"/>
      <c r="D359" s="90"/>
      <c r="E359" s="39"/>
    </row>
    <row r="360" spans="1:10" s="94" customFormat="1" x14ac:dyDescent="0.25">
      <c r="B360" s="131" t="s">
        <v>151</v>
      </c>
      <c r="D360" s="167" t="s">
        <v>140</v>
      </c>
      <c r="E360" s="167" t="s">
        <v>140</v>
      </c>
      <c r="H360" s="90"/>
      <c r="I360" s="39"/>
      <c r="J360" s="102" t="s">
        <v>152</v>
      </c>
    </row>
    <row r="361" spans="1:10" s="94" customFormat="1" x14ac:dyDescent="0.25">
      <c r="B361" s="167" t="s">
        <v>152</v>
      </c>
      <c r="C361" s="131" t="s">
        <v>141</v>
      </c>
      <c r="D361" s="167" t="s">
        <v>32</v>
      </c>
      <c r="E361" s="167" t="s">
        <v>32</v>
      </c>
      <c r="F361" s="167" t="s">
        <v>140</v>
      </c>
      <c r="G361" s="167" t="s">
        <v>30</v>
      </c>
      <c r="H361" s="131" t="s">
        <v>141</v>
      </c>
      <c r="I361" s="131" t="s">
        <v>141</v>
      </c>
      <c r="J361" s="102" t="s">
        <v>176</v>
      </c>
    </row>
    <row r="362" spans="1:10" s="94" customFormat="1" x14ac:dyDescent="0.25">
      <c r="A362" s="166" t="s">
        <v>7</v>
      </c>
      <c r="B362" s="167" t="s">
        <v>153</v>
      </c>
      <c r="C362" s="167" t="s">
        <v>144</v>
      </c>
      <c r="D362" s="167" t="s">
        <v>171</v>
      </c>
      <c r="E362" s="167" t="s">
        <v>172</v>
      </c>
      <c r="F362" s="167" t="s">
        <v>32</v>
      </c>
      <c r="G362" s="167" t="s">
        <v>68</v>
      </c>
      <c r="H362" s="167" t="s">
        <v>143</v>
      </c>
      <c r="I362" s="167" t="s">
        <v>142</v>
      </c>
      <c r="J362" s="183" t="s">
        <v>175</v>
      </c>
    </row>
    <row r="363" spans="1:10" s="94" customFormat="1" x14ac:dyDescent="0.25">
      <c r="A363" s="94">
        <v>0</v>
      </c>
      <c r="B363" s="137">
        <f>secondsPerBlock*maximumMinerAdvantage/targetMinerPercentHashpower</f>
        <v>2.4</v>
      </c>
      <c r="C363" s="176">
        <f t="shared" ref="C363:C378" si="59">(((avgHops19-1+5)*minLastMileLatency) + ((avgHops19-1)*proximityFavoringFactor*(Latency10thP1-minLastMileLatency)+5*(Latency90thP1-minLastMileLatency))*(1-(1-POWER(1+latencyGrowth,A363))))/1000</f>
        <v>1.5471820792666275</v>
      </c>
      <c r="D363" s="109">
        <f t="shared" ref="D363:D378" si="60">(B363 - C363)*(avgRelayBandwidth*ongoingResourcePercent90thP1*POWER(1+bandwidthGrowth,A363)*mbToGB*1000)/(compactBlockCompactedness+missingTransactionRate)</f>
        <v>28.053221076755669</v>
      </c>
      <c r="E363" s="109">
        <f t="shared" ref="E363:E378" si="61">(B363 - C363)*avgTrSize*(avgRelayValidationSpeed*ongoingResourcePercent90thP1*POWER(1+cpuGrowth,A363))/missingTransactionRate/1000/1000</f>
        <v>20.254425617417592</v>
      </c>
      <c r="F363" s="109">
        <f>MIN(D363,E363)</f>
        <v>20.254425617417592</v>
      </c>
      <c r="G363" s="6">
        <f t="shared" ref="G363:G378" si="62">F363*1000*1000/secondsPerBlock/avgTrSize</f>
        <v>71.068160061114355</v>
      </c>
      <c r="H363" s="140">
        <f t="shared" ref="H363:H378" si="63">F363*(missingTransactionRate+compactBlockCompactedness)/(avgRelayBandwidth*ongoingResourcePercent90thP1*POWER(1+bandwidthGrowth,A363)*mbToGB*1000)</f>
        <v>0.6157345387694948</v>
      </c>
      <c r="I363" s="141">
        <f t="shared" ref="I363:I378" si="64">(F363*missingTransactionRate*1000*1000/avgTrSize)/(avgRelayValidationSpeed*ongoingResourcePercent90thP1*POWER(1+cpuGrowth,A363))</f>
        <v>0.85281792073337237</v>
      </c>
      <c r="J363" s="184">
        <f>MAX(H363,I363)+C363</f>
        <v>2.4</v>
      </c>
    </row>
    <row r="364" spans="1:10" s="94" customFormat="1" x14ac:dyDescent="0.25">
      <c r="A364" s="94">
        <v>1</v>
      </c>
      <c r="B364" s="137">
        <f>secondsPerBlock*maximumMinerAdvantage/targetMinerPercentHashpower</f>
        <v>2.4</v>
      </c>
      <c r="C364" s="176">
        <f t="shared" si="59"/>
        <v>1.5048611953116631</v>
      </c>
      <c r="D364" s="109">
        <f t="shared" si="60"/>
        <v>36.806694271724382</v>
      </c>
      <c r="E364" s="109">
        <f t="shared" si="61"/>
        <v>24.873669535277159</v>
      </c>
      <c r="F364" s="109">
        <f t="shared" ref="F364:F378" si="65">MIN(D364,E364)</f>
        <v>24.873669535277159</v>
      </c>
      <c r="G364" s="6">
        <f t="shared" si="62"/>
        <v>87.276033457112845</v>
      </c>
      <c r="H364" s="140">
        <f t="shared" si="63"/>
        <v>0.60492764309794045</v>
      </c>
      <c r="I364" s="141">
        <f t="shared" si="64"/>
        <v>0.89513880468833673</v>
      </c>
      <c r="J364" s="184">
        <f t="shared" ref="J364:J378" si="66">MAX(H364,I364)+C364</f>
        <v>2.4</v>
      </c>
    </row>
    <row r="365" spans="1:10" s="94" customFormat="1" x14ac:dyDescent="0.25">
      <c r="A365" s="94">
        <v>2</v>
      </c>
      <c r="B365" s="137">
        <f t="shared" ref="B365:B378" si="67">secondsPerBlock*maximumMinerAdvantage/targetMinerPercentHashpower</f>
        <v>2.4</v>
      </c>
      <c r="C365" s="176">
        <f t="shared" si="59"/>
        <v>1.4638099378753473</v>
      </c>
      <c r="D365" s="109">
        <f t="shared" si="60"/>
        <v>48.118321449663476</v>
      </c>
      <c r="E365" s="109">
        <f t="shared" si="61"/>
        <v>30.436826181007874</v>
      </c>
      <c r="F365" s="109">
        <f t="shared" si="65"/>
        <v>30.436826181007874</v>
      </c>
      <c r="G365" s="6">
        <f t="shared" si="62"/>
        <v>106.79588133686973</v>
      </c>
      <c r="H365" s="140">
        <f t="shared" si="63"/>
        <v>0.5921788901776891</v>
      </c>
      <c r="I365" s="141">
        <f t="shared" si="64"/>
        <v>0.93619006212465261</v>
      </c>
      <c r="J365" s="184">
        <f t="shared" si="66"/>
        <v>2.4</v>
      </c>
    </row>
    <row r="366" spans="1:10" s="94" customFormat="1" x14ac:dyDescent="0.25">
      <c r="A366" s="94">
        <v>3</v>
      </c>
      <c r="B366" s="137">
        <f t="shared" si="67"/>
        <v>2.4</v>
      </c>
      <c r="C366" s="176">
        <f t="shared" si="59"/>
        <v>1.4239902181621211</v>
      </c>
      <c r="D366" s="109">
        <f t="shared" si="60"/>
        <v>62.70622056421405</v>
      </c>
      <c r="E366" s="109">
        <f t="shared" si="61"/>
        <v>37.125761424569369</v>
      </c>
      <c r="F366" s="109">
        <f t="shared" si="65"/>
        <v>37.125761424569369</v>
      </c>
      <c r="G366" s="6">
        <f t="shared" si="62"/>
        <v>130.26582955989252</v>
      </c>
      <c r="H366" s="140">
        <f t="shared" si="63"/>
        <v>0.57785505142113736</v>
      </c>
      <c r="I366" s="141">
        <f t="shared" si="64"/>
        <v>0.97600978183787868</v>
      </c>
      <c r="J366" s="184">
        <f t="shared" si="66"/>
        <v>2.4</v>
      </c>
    </row>
    <row r="367" spans="1:10" s="94" customFormat="1" x14ac:dyDescent="0.25">
      <c r="A367" s="94">
        <v>4</v>
      </c>
      <c r="B367" s="137">
        <f t="shared" si="67"/>
        <v>2.4</v>
      </c>
      <c r="C367" s="176">
        <f t="shared" si="59"/>
        <v>1.3853650900402918</v>
      </c>
      <c r="D367" s="109">
        <f t="shared" si="60"/>
        <v>81.484737192230867</v>
      </c>
      <c r="E367" s="109">
        <f t="shared" si="61"/>
        <v>45.156145289083703</v>
      </c>
      <c r="F367" s="109">
        <f t="shared" si="65"/>
        <v>45.156145289083703</v>
      </c>
      <c r="G367" s="6">
        <f t="shared" si="62"/>
        <v>158.4426150494165</v>
      </c>
      <c r="H367" s="140">
        <f t="shared" si="63"/>
        <v>0.56227709615642396</v>
      </c>
      <c r="I367" s="141">
        <f t="shared" si="64"/>
        <v>1.0146349099597081</v>
      </c>
      <c r="J367" s="184">
        <f t="shared" si="66"/>
        <v>2.4</v>
      </c>
    </row>
    <row r="368" spans="1:10" s="94" customFormat="1" x14ac:dyDescent="0.25">
      <c r="A368" s="94">
        <v>5</v>
      </c>
      <c r="B368" s="137">
        <f t="shared" si="67"/>
        <v>2.4</v>
      </c>
      <c r="C368" s="176">
        <f t="shared" si="59"/>
        <v>1.347898715762117</v>
      </c>
      <c r="D368" s="109">
        <f t="shared" si="60"/>
        <v>105.61704979323167</v>
      </c>
      <c r="E368" s="109">
        <f t="shared" si="61"/>
        <v>54.783588107138833</v>
      </c>
      <c r="F368" s="109">
        <f t="shared" si="65"/>
        <v>54.783588107138833</v>
      </c>
      <c r="G368" s="6">
        <f t="shared" si="62"/>
        <v>192.22311616539943</v>
      </c>
      <c r="H368" s="140">
        <f t="shared" si="63"/>
        <v>0.54572517898879647</v>
      </c>
      <c r="I368" s="141">
        <f t="shared" si="64"/>
        <v>1.052101284237883</v>
      </c>
      <c r="J368" s="184">
        <f t="shared" si="66"/>
        <v>2.4</v>
      </c>
    </row>
    <row r="369" spans="1:10" s="94" customFormat="1" x14ac:dyDescent="0.25">
      <c r="A369" s="94">
        <v>6</v>
      </c>
      <c r="B369" s="137">
        <f t="shared" si="67"/>
        <v>2.4</v>
      </c>
      <c r="C369" s="176">
        <f t="shared" si="59"/>
        <v>1.3115563327122879</v>
      </c>
      <c r="D369" s="109">
        <f t="shared" si="60"/>
        <v>136.58168030885798</v>
      </c>
      <c r="E369" s="109">
        <f t="shared" si="61"/>
        <v>66.310872360504391</v>
      </c>
      <c r="F369" s="109">
        <f t="shared" si="65"/>
        <v>66.310872360504391</v>
      </c>
      <c r="G369" s="6">
        <f t="shared" si="62"/>
        <v>232.66972758071714</v>
      </c>
      <c r="H369" s="140">
        <f t="shared" si="63"/>
        <v>0.52844311865179072</v>
      </c>
      <c r="I369" s="141">
        <f t="shared" si="64"/>
        <v>1.088443667287712</v>
      </c>
      <c r="J369" s="184">
        <f t="shared" si="66"/>
        <v>2.4</v>
      </c>
    </row>
    <row r="370" spans="1:10" s="94" customFormat="1" x14ac:dyDescent="0.25">
      <c r="A370" s="94">
        <v>7</v>
      </c>
      <c r="B370" s="137">
        <f t="shared" si="67"/>
        <v>2.4</v>
      </c>
      <c r="C370" s="176">
        <f t="shared" si="59"/>
        <v>1.2763042211539535</v>
      </c>
      <c r="D370" s="109">
        <f t="shared" si="60"/>
        <v>176.25654666769606</v>
      </c>
      <c r="E370" s="109">
        <f t="shared" si="61"/>
        <v>80.096473556660087</v>
      </c>
      <c r="F370" s="109">
        <f t="shared" si="65"/>
        <v>80.096473556660087</v>
      </c>
      <c r="G370" s="6">
        <f t="shared" si="62"/>
        <v>281.0402580935442</v>
      </c>
      <c r="H370" s="140">
        <f t="shared" si="63"/>
        <v>0.51064241832538237</v>
      </c>
      <c r="I370" s="141">
        <f t="shared" si="64"/>
        <v>1.1236957788460464</v>
      </c>
      <c r="J370" s="184">
        <f t="shared" si="66"/>
        <v>2.4</v>
      </c>
    </row>
    <row r="371" spans="1:10" s="94" customFormat="1" x14ac:dyDescent="0.25">
      <c r="A371" s="94">
        <v>8</v>
      </c>
      <c r="B371" s="137">
        <f t="shared" si="67"/>
        <v>2.4</v>
      </c>
      <c r="C371" s="176">
        <f t="shared" si="59"/>
        <v>1.2421096729423691</v>
      </c>
      <c r="D371" s="109">
        <f t="shared" si="60"/>
        <v>227.02513695108868</v>
      </c>
      <c r="E371" s="109">
        <f t="shared" si="61"/>
        <v>96.564597321680239</v>
      </c>
      <c r="F371" s="109">
        <f t="shared" si="65"/>
        <v>96.564597321680239</v>
      </c>
      <c r="G371" s="6">
        <f t="shared" si="62"/>
        <v>338.82314849712367</v>
      </c>
      <c r="H371" s="140">
        <f t="shared" si="63"/>
        <v>0.49250587259453066</v>
      </c>
      <c r="I371" s="141">
        <f t="shared" si="64"/>
        <v>1.1578903270576311</v>
      </c>
      <c r="J371" s="184">
        <f t="shared" si="66"/>
        <v>2.4000000000000004</v>
      </c>
    </row>
    <row r="372" spans="1:10" s="94" customFormat="1" x14ac:dyDescent="0.25">
      <c r="A372" s="94">
        <v>9</v>
      </c>
      <c r="B372" s="137">
        <f t="shared" si="67"/>
        <v>2.4</v>
      </c>
      <c r="C372" s="176">
        <f t="shared" si="59"/>
        <v>1.2089409611771322</v>
      </c>
      <c r="D372" s="109">
        <f t="shared" si="60"/>
        <v>291.91057119882902</v>
      </c>
      <c r="E372" s="109">
        <f t="shared" si="61"/>
        <v>116.21699959458009</v>
      </c>
      <c r="F372" s="109">
        <f t="shared" si="65"/>
        <v>116.21699959458009</v>
      </c>
      <c r="G372" s="6">
        <f t="shared" si="62"/>
        <v>407.77894594589503</v>
      </c>
      <c r="H372" s="140">
        <f t="shared" si="63"/>
        <v>0.47419080187306845</v>
      </c>
      <c r="I372" s="141">
        <f t="shared" si="64"/>
        <v>1.1910590388228679</v>
      </c>
      <c r="J372" s="184">
        <f t="shared" si="66"/>
        <v>2.4000000000000004</v>
      </c>
    </row>
    <row r="373" spans="1:10" s="94" customFormat="1" x14ac:dyDescent="0.25">
      <c r="A373" s="94">
        <v>10</v>
      </c>
      <c r="B373" s="137">
        <f t="shared" si="67"/>
        <v>2.4</v>
      </c>
      <c r="C373" s="176">
        <f t="shared" si="59"/>
        <v>1.1767673107648524</v>
      </c>
      <c r="D373" s="109">
        <f t="shared" si="60"/>
        <v>374.74480838562278</v>
      </c>
      <c r="E373" s="109">
        <f t="shared" si="61"/>
        <v>139.64690341010908</v>
      </c>
      <c r="F373" s="109">
        <f t="shared" si="65"/>
        <v>139.64690341010908</v>
      </c>
      <c r="G373" s="6">
        <f t="shared" si="62"/>
        <v>489.98913477231253</v>
      </c>
      <c r="H373" s="140">
        <f t="shared" si="63"/>
        <v>0.45583195118190789</v>
      </c>
      <c r="I373" s="141">
        <f t="shared" si="64"/>
        <v>1.2232326892351475</v>
      </c>
      <c r="J373" s="184">
        <f t="shared" si="66"/>
        <v>2.4</v>
      </c>
    </row>
    <row r="374" spans="1:10" s="94" customFormat="1" x14ac:dyDescent="0.25">
      <c r="A374" s="94">
        <v>11</v>
      </c>
      <c r="B374" s="137">
        <f t="shared" si="67"/>
        <v>2.4</v>
      </c>
      <c r="C374" s="176">
        <f t="shared" si="59"/>
        <v>1.1455588698649413</v>
      </c>
      <c r="D374" s="109">
        <f t="shared" si="60"/>
        <v>480.38213117637059</v>
      </c>
      <c r="E374" s="109">
        <f t="shared" si="61"/>
        <v>167.5553804472903</v>
      </c>
      <c r="F374" s="109">
        <f t="shared" si="65"/>
        <v>167.5553804472903</v>
      </c>
      <c r="G374" s="6">
        <f t="shared" si="62"/>
        <v>587.91361560452742</v>
      </c>
      <c r="H374" s="140">
        <f t="shared" si="63"/>
        <v>0.43754408660828942</v>
      </c>
      <c r="I374" s="141">
        <f t="shared" si="64"/>
        <v>1.2544411301350586</v>
      </c>
      <c r="J374" s="184">
        <f t="shared" si="66"/>
        <v>2.4</v>
      </c>
    </row>
    <row r="375" spans="1:10" s="94" customFormat="1" x14ac:dyDescent="0.25">
      <c r="A375" s="94">
        <v>12</v>
      </c>
      <c r="B375" s="137">
        <f t="shared" si="67"/>
        <v>2.4</v>
      </c>
      <c r="C375" s="176">
        <f t="shared" si="59"/>
        <v>1.1152866821920273</v>
      </c>
      <c r="D375" s="109">
        <f t="shared" si="60"/>
        <v>614.96839781235326</v>
      </c>
      <c r="E375" s="109">
        <f t="shared" si="61"/>
        <v>200.77062969720401</v>
      </c>
      <c r="F375" s="109">
        <f t="shared" si="65"/>
        <v>200.77062969720401</v>
      </c>
      <c r="G375" s="6">
        <f t="shared" si="62"/>
        <v>704.45834981475105</v>
      </c>
      <c r="H375" s="140">
        <f t="shared" si="63"/>
        <v>0.41942431954917209</v>
      </c>
      <c r="I375" s="141">
        <f t="shared" si="64"/>
        <v>1.2847133178079726</v>
      </c>
      <c r="J375" s="184">
        <f t="shared" si="66"/>
        <v>2.4</v>
      </c>
    </row>
    <row r="376" spans="1:10" s="94" customFormat="1" x14ac:dyDescent="0.25">
      <c r="A376" s="94">
        <v>13</v>
      </c>
      <c r="B376" s="137">
        <f t="shared" si="67"/>
        <v>2.4</v>
      </c>
      <c r="C376" s="176">
        <f t="shared" si="59"/>
        <v>1.0859226601493006</v>
      </c>
      <c r="D376" s="109">
        <f t="shared" si="60"/>
        <v>786.28051204873339</v>
      </c>
      <c r="E376" s="109">
        <f t="shared" si="61"/>
        <v>240.27066090361882</v>
      </c>
      <c r="F376" s="109">
        <f t="shared" si="65"/>
        <v>240.27066090361882</v>
      </c>
      <c r="G376" s="6">
        <f t="shared" si="62"/>
        <v>843.05495053901336</v>
      </c>
      <c r="H376" s="140">
        <f t="shared" si="63"/>
        <v>0.40155418592496889</v>
      </c>
      <c r="I376" s="141">
        <f t="shared" si="64"/>
        <v>1.3140773398506993</v>
      </c>
      <c r="J376" s="184">
        <f t="shared" si="66"/>
        <v>2.4</v>
      </c>
    </row>
    <row r="377" spans="1:10" s="94" customFormat="1" x14ac:dyDescent="0.25">
      <c r="A377" s="94">
        <v>14</v>
      </c>
      <c r="B377" s="137">
        <f t="shared" si="67"/>
        <v>2.4</v>
      </c>
      <c r="C377" s="176">
        <f t="shared" si="59"/>
        <v>1.0574395587678558</v>
      </c>
      <c r="D377" s="109">
        <f t="shared" si="60"/>
        <v>1004.1542829856579</v>
      </c>
      <c r="E377" s="109">
        <f t="shared" si="61"/>
        <v>287.20997877402345</v>
      </c>
      <c r="F377" s="109">
        <f t="shared" si="65"/>
        <v>287.20997877402345</v>
      </c>
      <c r="G377" s="6">
        <f t="shared" si="62"/>
        <v>1007.7543114878017</v>
      </c>
      <c r="H377" s="140">
        <f t="shared" si="63"/>
        <v>0.3840015049108097</v>
      </c>
      <c r="I377" s="141">
        <f t="shared" si="64"/>
        <v>1.3425604412321439</v>
      </c>
      <c r="J377" s="184">
        <f t="shared" si="66"/>
        <v>2.3999999999999995</v>
      </c>
    </row>
    <row r="378" spans="1:10" s="94" customFormat="1" x14ac:dyDescent="0.25">
      <c r="A378" s="94">
        <v>15</v>
      </c>
      <c r="B378" s="137">
        <f t="shared" si="67"/>
        <v>2.4</v>
      </c>
      <c r="C378" s="176">
        <f t="shared" si="59"/>
        <v>1.0298109504278543</v>
      </c>
      <c r="D378" s="109">
        <f t="shared" si="60"/>
        <v>1281.023520778321</v>
      </c>
      <c r="E378" s="109">
        <f t="shared" si="61"/>
        <v>342.9509675966118</v>
      </c>
      <c r="F378" s="109">
        <f t="shared" si="65"/>
        <v>342.9509675966118</v>
      </c>
      <c r="G378" s="6">
        <f t="shared" si="62"/>
        <v>1203.3367284091644</v>
      </c>
      <c r="H378" s="140">
        <f t="shared" si="63"/>
        <v>0.36682203934518237</v>
      </c>
      <c r="I378" s="141">
        <f t="shared" si="64"/>
        <v>1.3701890495721458</v>
      </c>
      <c r="J378" s="184">
        <f t="shared" si="66"/>
        <v>2.4000000000000004</v>
      </c>
    </row>
    <row r="379" spans="1:10" s="94" customFormat="1" x14ac:dyDescent="0.25">
      <c r="B379" s="137"/>
      <c r="C379" s="9"/>
      <c r="D379" s="141"/>
      <c r="E379" s="140"/>
      <c r="F379" s="140"/>
      <c r="G379" s="142"/>
    </row>
    <row r="380" spans="1:10" s="94" customFormat="1" x14ac:dyDescent="0.25">
      <c r="B380" s="151"/>
      <c r="C380" s="152" t="s">
        <v>150</v>
      </c>
      <c r="D380" s="167"/>
      <c r="E380" s="151"/>
      <c r="F380" s="159"/>
      <c r="G380" s="152" t="s">
        <v>141</v>
      </c>
      <c r="H380" s="167"/>
      <c r="I380" s="151"/>
      <c r="J380" s="161" t="s">
        <v>141</v>
      </c>
    </row>
    <row r="381" spans="1:10" s="94" customFormat="1" x14ac:dyDescent="0.25">
      <c r="B381" s="153" t="s">
        <v>130</v>
      </c>
      <c r="C381" s="154" t="s">
        <v>130</v>
      </c>
      <c r="D381" s="167"/>
      <c r="E381" s="153" t="s">
        <v>32</v>
      </c>
      <c r="F381" s="160" t="s">
        <v>101</v>
      </c>
      <c r="G381" s="154" t="s">
        <v>142</v>
      </c>
      <c r="H381" s="167"/>
      <c r="I381" s="153" t="s">
        <v>32</v>
      </c>
      <c r="J381" s="154" t="s">
        <v>143</v>
      </c>
    </row>
    <row r="382" spans="1:10" s="94" customFormat="1" x14ac:dyDescent="0.25">
      <c r="B382" s="155">
        <v>40</v>
      </c>
      <c r="C382" s="156">
        <f t="shared" ref="C382:C392" si="68">(avgHops19-1+5)*B382/1000</f>
        <v>0.3639625264919325</v>
      </c>
      <c r="E382" s="162">
        <v>2000</v>
      </c>
      <c r="F382" s="164">
        <v>100</v>
      </c>
      <c r="G382" s="156">
        <f t="shared" ref="G382:G392" si="69">(E382*missingTransactionRate*1000/avgTrSize)/(F382*ongoingResourcePercent90thP1)</f>
        <v>4.2105263157894743</v>
      </c>
      <c r="I382" s="162">
        <v>500</v>
      </c>
      <c r="J382" s="156">
        <f t="shared" ref="J382:J392" si="70">I382*(missingTransactionRate+compactBlockCompactedness)/(avgRelayBandwidth*0.1*mbToGB*KBperGB)</f>
        <v>1.52E-2</v>
      </c>
    </row>
    <row r="383" spans="1:10" s="94" customFormat="1" x14ac:dyDescent="0.25">
      <c r="B383" s="155">
        <v>60</v>
      </c>
      <c r="C383" s="156">
        <f t="shared" si="68"/>
        <v>0.54594378973789881</v>
      </c>
      <c r="E383" s="162">
        <v>2000</v>
      </c>
      <c r="F383" s="164">
        <v>200</v>
      </c>
      <c r="G383" s="156">
        <f t="shared" si="69"/>
        <v>2.1052631578947372</v>
      </c>
      <c r="I383" s="162">
        <v>1000</v>
      </c>
      <c r="J383" s="156">
        <f t="shared" si="70"/>
        <v>3.04E-2</v>
      </c>
    </row>
    <row r="384" spans="1:10" s="94" customFormat="1" x14ac:dyDescent="0.25">
      <c r="B384" s="155">
        <v>80</v>
      </c>
      <c r="C384" s="156">
        <f t="shared" si="68"/>
        <v>0.72792505298386501</v>
      </c>
      <c r="E384" s="162">
        <v>2000</v>
      </c>
      <c r="F384" s="164">
        <v>500</v>
      </c>
      <c r="G384" s="156">
        <f t="shared" si="69"/>
        <v>0.8421052631578948</v>
      </c>
      <c r="I384" s="162">
        <v>1500</v>
      </c>
      <c r="J384" s="156">
        <f t="shared" si="70"/>
        <v>4.5600000000000002E-2</v>
      </c>
    </row>
    <row r="385" spans="1:10" s="94" customFormat="1" x14ac:dyDescent="0.25">
      <c r="B385" s="155">
        <v>100</v>
      </c>
      <c r="C385" s="156">
        <f t="shared" si="68"/>
        <v>0.90990631622983131</v>
      </c>
      <c r="E385" s="162">
        <v>2000</v>
      </c>
      <c r="F385" s="164">
        <v>1000</v>
      </c>
      <c r="G385" s="156">
        <f t="shared" si="69"/>
        <v>0.4210526315789474</v>
      </c>
      <c r="I385" s="162">
        <v>2000</v>
      </c>
      <c r="J385" s="156">
        <f t="shared" si="70"/>
        <v>6.08E-2</v>
      </c>
    </row>
    <row r="386" spans="1:10" s="94" customFormat="1" x14ac:dyDescent="0.25">
      <c r="B386" s="155">
        <v>120</v>
      </c>
      <c r="C386" s="156">
        <f t="shared" si="68"/>
        <v>1.0918875794757976</v>
      </c>
      <c r="E386" s="162">
        <v>2000</v>
      </c>
      <c r="F386" s="164">
        <v>2000</v>
      </c>
      <c r="G386" s="156">
        <f t="shared" si="69"/>
        <v>0.2105263157894737</v>
      </c>
      <c r="I386" s="162">
        <v>2500</v>
      </c>
      <c r="J386" s="156">
        <f t="shared" si="70"/>
        <v>7.5999999999999998E-2</v>
      </c>
    </row>
    <row r="387" spans="1:10" s="94" customFormat="1" x14ac:dyDescent="0.25">
      <c r="B387" s="155">
        <v>140</v>
      </c>
      <c r="C387" s="156">
        <f t="shared" si="68"/>
        <v>1.2738688427217637</v>
      </c>
      <c r="E387" s="162">
        <v>2000</v>
      </c>
      <c r="F387" s="164">
        <v>5000</v>
      </c>
      <c r="G387" s="156">
        <f t="shared" si="69"/>
        <v>8.4210526315789486E-2</v>
      </c>
      <c r="I387" s="162">
        <v>3000</v>
      </c>
      <c r="J387" s="156">
        <f t="shared" si="70"/>
        <v>9.1200000000000003E-2</v>
      </c>
    </row>
    <row r="388" spans="1:10" s="94" customFormat="1" x14ac:dyDescent="0.25">
      <c r="B388" s="155">
        <v>160</v>
      </c>
      <c r="C388" s="156">
        <f t="shared" si="68"/>
        <v>1.45585010596773</v>
      </c>
      <c r="E388" s="162">
        <v>2000</v>
      </c>
      <c r="F388" s="164">
        <v>10000</v>
      </c>
      <c r="G388" s="156">
        <f t="shared" si="69"/>
        <v>4.2105263157894743E-2</v>
      </c>
      <c r="I388" s="162">
        <v>3500</v>
      </c>
      <c r="J388" s="156">
        <f t="shared" si="70"/>
        <v>0.10639999999999999</v>
      </c>
    </row>
    <row r="389" spans="1:10" s="94" customFormat="1" x14ac:dyDescent="0.25">
      <c r="B389" s="155">
        <v>180</v>
      </c>
      <c r="C389" s="156">
        <f t="shared" si="68"/>
        <v>1.6378313692136963</v>
      </c>
      <c r="E389" s="162">
        <v>2000</v>
      </c>
      <c r="F389" s="164">
        <v>20000</v>
      </c>
      <c r="G389" s="156">
        <f t="shared" si="69"/>
        <v>2.1052631578947371E-2</v>
      </c>
      <c r="I389" s="162">
        <v>4000</v>
      </c>
      <c r="J389" s="156">
        <f t="shared" si="70"/>
        <v>0.1216</v>
      </c>
    </row>
    <row r="390" spans="1:10" s="94" customFormat="1" x14ac:dyDescent="0.25">
      <c r="B390" s="155">
        <v>200</v>
      </c>
      <c r="C390" s="156">
        <f t="shared" si="68"/>
        <v>1.8198126324596626</v>
      </c>
      <c r="E390" s="162">
        <v>2000</v>
      </c>
      <c r="F390" s="164">
        <v>50000</v>
      </c>
      <c r="G390" s="156">
        <f t="shared" si="69"/>
        <v>8.4210526315789472E-3</v>
      </c>
      <c r="I390" s="162">
        <v>4500</v>
      </c>
      <c r="J390" s="156">
        <f t="shared" si="70"/>
        <v>0.1368</v>
      </c>
    </row>
    <row r="391" spans="1:10" s="94" customFormat="1" x14ac:dyDescent="0.25">
      <c r="B391" s="155">
        <v>220</v>
      </c>
      <c r="C391" s="156">
        <f t="shared" si="68"/>
        <v>2.0017938957056289</v>
      </c>
      <c r="E391" s="162">
        <v>2000</v>
      </c>
      <c r="F391" s="164">
        <v>100000</v>
      </c>
      <c r="G391" s="156">
        <f t="shared" si="69"/>
        <v>4.2105263157894736E-3</v>
      </c>
      <c r="I391" s="162">
        <v>5000</v>
      </c>
      <c r="J391" s="156">
        <f t="shared" si="70"/>
        <v>0.152</v>
      </c>
    </row>
    <row r="392" spans="1:10" s="94" customFormat="1" x14ac:dyDescent="0.25">
      <c r="B392" s="157">
        <v>240</v>
      </c>
      <c r="C392" s="158">
        <f t="shared" si="68"/>
        <v>2.1837751589515952</v>
      </c>
      <c r="E392" s="163">
        <v>2000</v>
      </c>
      <c r="F392" s="165">
        <v>200000</v>
      </c>
      <c r="G392" s="158">
        <f t="shared" si="69"/>
        <v>2.1052631578947368E-3</v>
      </c>
      <c r="I392" s="163">
        <v>5500</v>
      </c>
      <c r="J392" s="158">
        <f t="shared" si="70"/>
        <v>0.16719999999999999</v>
      </c>
    </row>
    <row r="393" spans="1:10" s="94" customFormat="1" x14ac:dyDescent="0.25">
      <c r="B393" s="39"/>
      <c r="C393" s="7"/>
      <c r="D393" s="90"/>
      <c r="E393" s="39"/>
    </row>
    <row r="394" spans="1:10" x14ac:dyDescent="0.25">
      <c r="A394" s="5" t="s">
        <v>65</v>
      </c>
    </row>
    <row r="395" spans="1:10" x14ac:dyDescent="0.25">
      <c r="A395" s="201"/>
      <c r="B395" s="201"/>
      <c r="C395" s="201"/>
      <c r="D395" s="5" t="s">
        <v>67</v>
      </c>
      <c r="E395" s="5" t="s">
        <v>68</v>
      </c>
      <c r="F395" s="5" t="s">
        <v>17</v>
      </c>
      <c r="G395" s="5" t="s">
        <v>69</v>
      </c>
      <c r="H395" s="5" t="s">
        <v>70</v>
      </c>
    </row>
    <row r="396" spans="1:10" x14ac:dyDescent="0.25">
      <c r="A396" s="203" t="s">
        <v>21</v>
      </c>
      <c r="B396" s="203"/>
      <c r="C396" s="203"/>
      <c r="D396" s="48" t="str">
        <f>A77</f>
        <v>90th %ile</v>
      </c>
      <c r="E396" s="49">
        <f>E81</f>
        <v>0.45165461986341898</v>
      </c>
      <c r="F396" s="50">
        <f>D81</f>
        <v>128.72156666107443</v>
      </c>
      <c r="G396" s="53">
        <f>B81*avgTrSize/1000</f>
        <v>43.091999999999999</v>
      </c>
      <c r="H396" s="116"/>
    </row>
    <row r="397" spans="1:10" x14ac:dyDescent="0.25">
      <c r="A397" s="202" t="s">
        <v>5</v>
      </c>
      <c r="B397" s="202"/>
      <c r="C397" s="202"/>
      <c r="D397" s="2" t="str">
        <f>A53</f>
        <v>90th %ile</v>
      </c>
      <c r="E397" s="44">
        <f>E57</f>
        <v>0.8446313225664035</v>
      </c>
      <c r="F397" s="9">
        <f>D57</f>
        <v>240.71992693142499</v>
      </c>
      <c r="G397" s="35">
        <f>B57</f>
        <v>56.7</v>
      </c>
      <c r="H397" s="112"/>
    </row>
    <row r="398" spans="1:10" x14ac:dyDescent="0.25">
      <c r="A398" s="202" t="s">
        <v>49</v>
      </c>
      <c r="B398" s="202"/>
      <c r="C398" s="202"/>
      <c r="D398" s="2" t="str">
        <f>A261</f>
        <v>10th %ile</v>
      </c>
      <c r="E398" s="44">
        <f>F266</f>
        <v>3.2377366551843845</v>
      </c>
      <c r="F398" s="13">
        <f>E266</f>
        <v>922.75494672754951</v>
      </c>
      <c r="G398" s="35">
        <f>C265</f>
        <v>197</v>
      </c>
      <c r="H398" s="112"/>
    </row>
    <row r="399" spans="1:10" x14ac:dyDescent="0.25">
      <c r="A399" s="202" t="s">
        <v>66</v>
      </c>
      <c r="B399" s="202"/>
      <c r="C399" s="202"/>
      <c r="D399" s="2" t="str">
        <f>A286</f>
        <v>90th %ile</v>
      </c>
      <c r="E399" s="56"/>
      <c r="F399" s="55"/>
      <c r="G399" s="54"/>
      <c r="H399" s="52">
        <f>C291</f>
        <v>1.3333333333333335</v>
      </c>
    </row>
    <row r="400" spans="1:10" s="94" customFormat="1" x14ac:dyDescent="0.25">
      <c r="A400" s="202" t="s">
        <v>71</v>
      </c>
      <c r="B400" s="202"/>
      <c r="C400" s="202"/>
      <c r="D400" s="2" t="str">
        <f>A101</f>
        <v>90th %ile</v>
      </c>
      <c r="E400" s="44">
        <f>B106</f>
        <v>4.9000000000000004</v>
      </c>
      <c r="F400" s="9">
        <f>E106</f>
        <v>1396.5</v>
      </c>
      <c r="G400" s="35">
        <f>C106*avgTrSize/1000</f>
        <v>197.125</v>
      </c>
      <c r="H400" s="112"/>
    </row>
    <row r="401" spans="1:8" x14ac:dyDescent="0.25">
      <c r="A401" s="202" t="s">
        <v>56</v>
      </c>
      <c r="B401" s="202"/>
      <c r="C401" s="202"/>
      <c r="D401" s="2" t="str">
        <f>A165</f>
        <v>90th %ile</v>
      </c>
      <c r="E401" s="44">
        <f>D169</f>
        <v>10.096930533117932</v>
      </c>
      <c r="F401" s="9">
        <f>E169*1000</f>
        <v>2877.6252019386106</v>
      </c>
      <c r="G401" s="55"/>
      <c r="H401" s="112"/>
    </row>
    <row r="402" spans="1:8" x14ac:dyDescent="0.25">
      <c r="A402" s="202" t="s">
        <v>54</v>
      </c>
      <c r="B402" s="202"/>
      <c r="C402" s="202"/>
      <c r="D402" s="2" t="str">
        <f>A213</f>
        <v>90th %ile</v>
      </c>
      <c r="E402" s="44">
        <f>B217</f>
        <v>20</v>
      </c>
      <c r="F402" s="9">
        <f>C217*1000</f>
        <v>5700</v>
      </c>
      <c r="G402" s="54"/>
      <c r="H402" s="112"/>
    </row>
    <row r="403" spans="1:8" x14ac:dyDescent="0.25">
      <c r="A403" s="202" t="s">
        <v>47</v>
      </c>
      <c r="B403" s="202"/>
      <c r="C403" s="202"/>
      <c r="D403" s="2" t="str">
        <f>A237</f>
        <v>90th %ile</v>
      </c>
      <c r="E403" s="56"/>
      <c r="F403" s="55"/>
      <c r="G403" s="54"/>
      <c r="H403" s="52">
        <f>B241</f>
        <v>12.8</v>
      </c>
    </row>
    <row r="404" spans="1:8" x14ac:dyDescent="0.25">
      <c r="A404" s="166"/>
      <c r="B404" s="166"/>
      <c r="C404" s="166" t="s">
        <v>165</v>
      </c>
      <c r="D404" s="177" t="s">
        <v>166</v>
      </c>
      <c r="E404" s="197">
        <f>G363</f>
        <v>71.068160061114355</v>
      </c>
      <c r="F404" s="198">
        <f>F363*1000</f>
        <v>20254.425617417593</v>
      </c>
      <c r="G404" s="54"/>
      <c r="H404" s="179"/>
    </row>
    <row r="405" spans="1:8" x14ac:dyDescent="0.25">
      <c r="A405" s="202" t="s">
        <v>56</v>
      </c>
      <c r="B405" s="202"/>
      <c r="C405" s="202"/>
      <c r="D405" s="96" t="s">
        <v>81</v>
      </c>
      <c r="E405" s="199">
        <f>D193</f>
        <v>151.77270519669742</v>
      </c>
      <c r="F405" s="9">
        <f>E193*1000</f>
        <v>43255.220981058759</v>
      </c>
      <c r="G405" s="112"/>
      <c r="H405" s="112"/>
    </row>
  </sheetData>
  <mergeCells count="12">
    <mergeCell ref="H7:K7"/>
    <mergeCell ref="A395:C395"/>
    <mergeCell ref="A403:C403"/>
    <mergeCell ref="A405:C405"/>
    <mergeCell ref="A397:C397"/>
    <mergeCell ref="A396:C396"/>
    <mergeCell ref="A400:C400"/>
    <mergeCell ref="A402:C402"/>
    <mergeCell ref="A399:C399"/>
    <mergeCell ref="A398:C398"/>
    <mergeCell ref="A401:C401"/>
    <mergeCell ref="H8:K8"/>
  </mergeCells>
  <conditionalFormatting sqref="I126:I141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6:I121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400:F402 F396:F398 F404">
    <cfRule type="cellIs" dxfId="9" priority="8" operator="lessThan">
      <formula>$C$19</formula>
    </cfRule>
  </conditionalFormatting>
  <conditionalFormatting sqref="G400 G396:G398">
    <cfRule type="cellIs" dxfId="8" priority="6" operator="lessThan">
      <formula>$B$19</formula>
    </cfRule>
  </conditionalFormatting>
  <conditionalFormatting sqref="H403 H399">
    <cfRule type="cellIs" dxfId="7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0:E402 E396:E398 E404 E405">
    <cfRule type="cellIs" dxfId="6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329"/>
  <sheetViews>
    <sheetView topLeftCell="A247" workbookViewId="0">
      <selection activeCell="F266" sqref="F266"/>
    </sheetView>
  </sheetViews>
  <sheetFormatPr defaultRowHeight="15" x14ac:dyDescent="0.25"/>
  <cols>
    <col min="1" max="1" width="11.42578125" customWidth="1"/>
    <col min="2" max="2" width="15.5703125" customWidth="1"/>
    <col min="3" max="3" width="13.7109375" customWidth="1"/>
    <col min="4" max="4" width="12.5703125" customWidth="1"/>
    <col min="5" max="5" width="12.42578125" customWidth="1"/>
    <col min="6" max="6" width="14" customWidth="1"/>
    <col min="7" max="7" width="12.8554687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6" customFormat="1" x14ac:dyDescent="0.25">
      <c r="A1" s="67" t="s">
        <v>0</v>
      </c>
      <c r="G1" s="67" t="s">
        <v>76</v>
      </c>
      <c r="H1" s="67" t="s">
        <v>75</v>
      </c>
      <c r="I1" s="67" t="s">
        <v>86</v>
      </c>
      <c r="J1" s="70" t="s">
        <v>85</v>
      </c>
      <c r="K1" s="67" t="s">
        <v>15</v>
      </c>
      <c r="L1" s="67" t="s">
        <v>38</v>
      </c>
    </row>
    <row r="2" spans="1:12" s="66" customFormat="1" x14ac:dyDescent="0.25">
      <c r="A2" s="67" t="s">
        <v>78</v>
      </c>
      <c r="B2" s="67" t="s">
        <v>1</v>
      </c>
      <c r="C2" s="67" t="s">
        <v>2</v>
      </c>
      <c r="D2" s="67" t="s">
        <v>3</v>
      </c>
      <c r="E2" s="67" t="s">
        <v>10</v>
      </c>
      <c r="F2" s="167" t="s">
        <v>130</v>
      </c>
      <c r="G2" s="67" t="s">
        <v>57</v>
      </c>
      <c r="H2" s="67" t="s">
        <v>57</v>
      </c>
      <c r="I2" s="67" t="s">
        <v>15</v>
      </c>
      <c r="J2" s="67" t="s">
        <v>15</v>
      </c>
      <c r="K2" s="67" t="s">
        <v>16</v>
      </c>
      <c r="L2" s="67" t="s">
        <v>16</v>
      </c>
    </row>
    <row r="3" spans="1:12" s="66" customFormat="1" x14ac:dyDescent="0.25">
      <c r="A3" s="68" t="s">
        <v>82</v>
      </c>
      <c r="B3" s="72">
        <v>1000</v>
      </c>
      <c r="C3" s="73">
        <v>10000</v>
      </c>
      <c r="D3" s="73">
        <v>20</v>
      </c>
      <c r="E3" s="74">
        <v>20000</v>
      </c>
      <c r="F3" s="138">
        <v>90</v>
      </c>
      <c r="G3" s="77">
        <v>14</v>
      </c>
      <c r="H3" s="81">
        <f>($G$5*0.9+$G$4*0.09+$G$3*0.01)/publicNodePercent</f>
        <v>140</v>
      </c>
      <c r="I3" s="75">
        <v>7</v>
      </c>
      <c r="J3" s="75">
        <v>60</v>
      </c>
      <c r="K3" s="76">
        <v>0.75</v>
      </c>
      <c r="L3" s="76">
        <v>0.1</v>
      </c>
    </row>
    <row r="4" spans="1:12" s="66" customFormat="1" x14ac:dyDescent="0.25">
      <c r="A4" s="68" t="s">
        <v>81</v>
      </c>
      <c r="B4" s="72">
        <v>50</v>
      </c>
      <c r="C4" s="73">
        <v>1000</v>
      </c>
      <c r="D4" s="73">
        <v>8</v>
      </c>
      <c r="E4" s="74">
        <v>5000</v>
      </c>
      <c r="F4" s="138">
        <v>130</v>
      </c>
      <c r="G4" s="77">
        <v>14</v>
      </c>
      <c r="H4" s="80">
        <f>($G$5*0.9+$G$4*0.09+$G$3*0.01)/publicNodePercent</f>
        <v>140</v>
      </c>
      <c r="I4" s="75">
        <v>7</v>
      </c>
      <c r="J4" s="75">
        <v>60</v>
      </c>
      <c r="K4" s="76">
        <f>'Current Bitcoin'!$J$4</f>
        <v>0.5</v>
      </c>
      <c r="L4" s="76">
        <v>0.1</v>
      </c>
    </row>
    <row r="5" spans="1:12" s="66" customFormat="1" x14ac:dyDescent="0.25">
      <c r="A5" s="68" t="s">
        <v>80</v>
      </c>
      <c r="B5" s="72">
        <v>1</v>
      </c>
      <c r="C5" s="73">
        <v>128</v>
      </c>
      <c r="D5" s="73">
        <v>2</v>
      </c>
      <c r="E5" s="74">
        <v>200</v>
      </c>
      <c r="F5" s="138">
        <v>250</v>
      </c>
      <c r="G5" s="77">
        <v>14</v>
      </c>
      <c r="H5" s="77">
        <v>0</v>
      </c>
      <c r="I5" s="75">
        <v>7</v>
      </c>
      <c r="J5" s="75">
        <v>60</v>
      </c>
      <c r="K5" s="76">
        <v>0.75</v>
      </c>
      <c r="L5" s="76">
        <v>0.1</v>
      </c>
    </row>
    <row r="6" spans="1:12" s="66" customFormat="1" x14ac:dyDescent="0.25">
      <c r="A6" s="68" t="s">
        <v>8</v>
      </c>
      <c r="B6" s="76">
        <v>0.25</v>
      </c>
      <c r="C6" s="76">
        <v>0.25</v>
      </c>
      <c r="D6" s="76">
        <v>0.15</v>
      </c>
      <c r="E6" s="76">
        <v>0.17</v>
      </c>
      <c r="F6" s="173">
        <v>-0.03</v>
      </c>
    </row>
    <row r="7" spans="1:12" s="66" customFormat="1" x14ac:dyDescent="0.25"/>
    <row r="9" spans="1:12" x14ac:dyDescent="0.25">
      <c r="A9" s="70" t="s">
        <v>87</v>
      </c>
    </row>
    <row r="10" spans="1:12" x14ac:dyDescent="0.25">
      <c r="A10" s="67"/>
      <c r="B10" s="68"/>
      <c r="C10" s="66"/>
      <c r="D10" s="66"/>
      <c r="E10" s="66"/>
      <c r="F10" s="66"/>
      <c r="G10" s="79" t="s">
        <v>76</v>
      </c>
      <c r="H10" s="79" t="s">
        <v>75</v>
      </c>
      <c r="I10" s="66"/>
      <c r="J10" s="66"/>
      <c r="K10" s="66"/>
    </row>
    <row r="11" spans="1:12" x14ac:dyDescent="0.25">
      <c r="A11" s="68" t="s">
        <v>6</v>
      </c>
      <c r="B11" s="66"/>
      <c r="C11" s="79" t="s">
        <v>2</v>
      </c>
      <c r="D11" s="79" t="s">
        <v>3</v>
      </c>
      <c r="E11" s="66"/>
      <c r="F11" s="66"/>
      <c r="G11" s="79" t="s">
        <v>57</v>
      </c>
      <c r="H11" s="79" t="s">
        <v>57</v>
      </c>
      <c r="I11" s="66"/>
      <c r="J11" s="66"/>
      <c r="K11" s="66"/>
    </row>
    <row r="12" spans="1:12" x14ac:dyDescent="0.25">
      <c r="A12" s="68" t="s">
        <v>80</v>
      </c>
      <c r="B12" s="124">
        <f>$B$5</f>
        <v>1</v>
      </c>
      <c r="C12" s="125">
        <f>$C$5</f>
        <v>128</v>
      </c>
      <c r="D12" s="125">
        <f>$D$5</f>
        <v>2</v>
      </c>
      <c r="E12" s="126">
        <f>$E$5</f>
        <v>200</v>
      </c>
      <c r="F12" s="139">
        <f>$F$5</f>
        <v>250</v>
      </c>
      <c r="G12" s="81">
        <f>$G$5</f>
        <v>14</v>
      </c>
      <c r="H12" s="81">
        <f>$H$5</f>
        <v>0</v>
      </c>
      <c r="I12" s="127">
        <f>$I$5</f>
        <v>7</v>
      </c>
      <c r="J12" s="127">
        <f>$J$5</f>
        <v>60</v>
      </c>
      <c r="K12" s="128">
        <f>$K$5</f>
        <v>0.75</v>
      </c>
      <c r="L12" s="128">
        <f>$L$5</f>
        <v>0.1</v>
      </c>
    </row>
    <row r="13" spans="1:1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</row>
    <row r="14" spans="1:12" x14ac:dyDescent="0.25">
      <c r="A14" s="66"/>
      <c r="B14" s="67"/>
      <c r="C14" s="84" t="s">
        <v>45</v>
      </c>
      <c r="D14" s="84" t="s">
        <v>39</v>
      </c>
      <c r="E14" s="84" t="s">
        <v>31</v>
      </c>
      <c r="F14" s="66"/>
      <c r="G14" s="66"/>
      <c r="H14" s="66"/>
      <c r="I14" s="66"/>
      <c r="J14" s="66"/>
      <c r="K14" s="66"/>
    </row>
    <row r="15" spans="1:12" x14ac:dyDescent="0.25">
      <c r="A15" s="69" t="s">
        <v>7</v>
      </c>
      <c r="B15" s="67" t="s">
        <v>88</v>
      </c>
      <c r="C15" s="84" t="s">
        <v>35</v>
      </c>
      <c r="D15" s="84" t="s">
        <v>8</v>
      </c>
      <c r="E15" s="67" t="s">
        <v>32</v>
      </c>
      <c r="F15" s="67" t="s">
        <v>20</v>
      </c>
      <c r="G15" s="66"/>
      <c r="H15" s="66"/>
      <c r="I15" s="66"/>
      <c r="J15" s="66"/>
      <c r="K15" s="66"/>
    </row>
    <row r="16" spans="1:12" x14ac:dyDescent="0.25">
      <c r="A16" s="66">
        <v>0</v>
      </c>
      <c r="B16" s="110">
        <f t="shared" ref="B16:B31" si="0">bandwidth9*syncResourcePercent8*mbToGB*secondsPerYear*POWER(1+bandwidthGrowth,A16)*recentSyncTime8/365</f>
        <v>56.7</v>
      </c>
      <c r="C16" s="88">
        <f xml:space="preserve"> utxoSize</f>
        <v>3</v>
      </c>
      <c r="D16" s="65">
        <f t="shared" ref="D16:D31" si="1">(B16-C16)/(assumevalidBlockTime/365)</f>
        <v>93.335714285714289</v>
      </c>
      <c r="E16" s="51">
        <f t="shared" ref="E16:E31" si="2">(D16*KBperGB/secondsPerYear)*secondsPerBlock/1000</f>
        <v>1.7757936507936509</v>
      </c>
      <c r="F16" s="71">
        <f t="shared" ref="F16:F31" si="3">E16*1000*1000/(secondsPerBlock*avgTrSize)</f>
        <v>6.230854915065442</v>
      </c>
      <c r="G16" s="66"/>
      <c r="H16" s="66"/>
      <c r="I16" s="66"/>
      <c r="J16" s="66"/>
      <c r="K16" s="66"/>
    </row>
    <row r="17" spans="1:11" x14ac:dyDescent="0.25">
      <c r="A17" s="66">
        <v>1</v>
      </c>
      <c r="B17" s="110">
        <f>bandwidth9*syncResourcePercent8*mbToGB*secondsPerYear*POWER(1+bandwidthGrowth,A17)*recentSyncTime8/365</f>
        <v>70.875</v>
      </c>
      <c r="C17" s="90">
        <f t="shared" ref="C17:C31" si="4" xml:space="preserve"> C16 + MIN(C16*utxoGrowth, curMaxBlocksize*secondsPerYear/secondsPerBlock/KBperGB)</f>
        <v>4.5</v>
      </c>
      <c r="D17" s="65">
        <f t="shared" si="1"/>
        <v>115.36607142857143</v>
      </c>
      <c r="E17" s="89">
        <f t="shared" si="2"/>
        <v>2.1949404761904763</v>
      </c>
      <c r="F17" s="71">
        <f t="shared" si="3"/>
        <v>7.7015455304928988</v>
      </c>
      <c r="G17" s="66"/>
      <c r="H17" s="66"/>
      <c r="I17" s="66"/>
      <c r="J17" s="66"/>
      <c r="K17" s="66"/>
    </row>
    <row r="18" spans="1:11" x14ac:dyDescent="0.25">
      <c r="A18" s="66">
        <v>2</v>
      </c>
      <c r="B18" s="110">
        <f t="shared" si="0"/>
        <v>88.59375</v>
      </c>
      <c r="C18" s="90">
        <f t="shared" si="4"/>
        <v>6.75</v>
      </c>
      <c r="D18" s="65">
        <f t="shared" si="1"/>
        <v>142.25223214285714</v>
      </c>
      <c r="E18" s="89">
        <f t="shared" si="2"/>
        <v>2.706473214285714</v>
      </c>
      <c r="F18" s="71">
        <f t="shared" si="3"/>
        <v>9.4963972431077668</v>
      </c>
      <c r="G18" s="66"/>
      <c r="H18" s="66"/>
      <c r="I18" s="66"/>
      <c r="J18" s="66"/>
      <c r="K18" s="66"/>
    </row>
    <row r="19" spans="1:11" x14ac:dyDescent="0.25">
      <c r="A19" s="66">
        <v>3</v>
      </c>
      <c r="B19" s="110">
        <f t="shared" si="0"/>
        <v>110.7421875</v>
      </c>
      <c r="C19" s="90">
        <f t="shared" si="4"/>
        <v>10.125</v>
      </c>
      <c r="D19" s="65">
        <f t="shared" si="1"/>
        <v>174.88225446428572</v>
      </c>
      <c r="E19" s="89">
        <f>(D19*KBperGB/secondsPerYear)*secondsPerBlock/1000</f>
        <v>3.3272879464285721</v>
      </c>
      <c r="F19" s="71">
        <f t="shared" si="3"/>
        <v>11.674694548872182</v>
      </c>
      <c r="G19" s="66"/>
      <c r="H19" s="66"/>
      <c r="I19" s="66"/>
      <c r="J19" s="66"/>
      <c r="K19" s="66"/>
    </row>
    <row r="20" spans="1:11" x14ac:dyDescent="0.25">
      <c r="A20" s="66">
        <v>4</v>
      </c>
      <c r="B20" s="110">
        <f t="shared" si="0"/>
        <v>138.427734375</v>
      </c>
      <c r="C20" s="90">
        <f t="shared" si="4"/>
        <v>15.1875</v>
      </c>
      <c r="D20" s="65">
        <f t="shared" si="1"/>
        <v>214.20326450892858</v>
      </c>
      <c r="E20" s="89">
        <f t="shared" si="2"/>
        <v>4.0754045758928577</v>
      </c>
      <c r="F20" s="71">
        <f t="shared" si="3"/>
        <v>14.299665178571431</v>
      </c>
      <c r="G20" s="66"/>
      <c r="H20" s="66"/>
      <c r="I20" s="66"/>
      <c r="J20" s="66"/>
      <c r="K20" s="66"/>
    </row>
    <row r="21" spans="1:11" x14ac:dyDescent="0.25">
      <c r="A21" s="66">
        <v>5</v>
      </c>
      <c r="B21" s="110">
        <f t="shared" si="0"/>
        <v>173.03466796875</v>
      </c>
      <c r="C21" s="90">
        <f t="shared" si="4"/>
        <v>22.78125</v>
      </c>
      <c r="D21" s="65">
        <f t="shared" si="1"/>
        <v>261.15475027901789</v>
      </c>
      <c r="E21" s="89">
        <f t="shared" si="2"/>
        <v>4.9686976841517865</v>
      </c>
      <c r="F21" s="71">
        <f t="shared" si="3"/>
        <v>17.434026961936091</v>
      </c>
      <c r="G21" s="66"/>
      <c r="H21" s="66"/>
      <c r="I21" s="66"/>
      <c r="J21" s="66"/>
      <c r="K21" s="66"/>
    </row>
    <row r="22" spans="1:11" x14ac:dyDescent="0.25">
      <c r="A22" s="66">
        <v>6</v>
      </c>
      <c r="B22" s="110">
        <f t="shared" si="0"/>
        <v>216.2933349609375</v>
      </c>
      <c r="C22" s="90">
        <f t="shared" si="4"/>
        <v>34.171875</v>
      </c>
      <c r="D22" s="65">
        <f t="shared" si="1"/>
        <v>316.54444231305803</v>
      </c>
      <c r="E22" s="89">
        <f t="shared" si="2"/>
        <v>6.0225350516183038</v>
      </c>
      <c r="F22" s="71">
        <f t="shared" si="3"/>
        <v>21.131701935502818</v>
      </c>
      <c r="G22" s="66"/>
      <c r="H22" s="66"/>
      <c r="I22" s="66"/>
      <c r="J22" s="66"/>
      <c r="K22" s="66"/>
    </row>
    <row r="23" spans="1:11" x14ac:dyDescent="0.25">
      <c r="A23" s="66">
        <v>7</v>
      </c>
      <c r="B23" s="110">
        <f t="shared" si="0"/>
        <v>270.36666870117187</v>
      </c>
      <c r="C23" s="90">
        <f t="shared" si="4"/>
        <v>51.2578125</v>
      </c>
      <c r="D23" s="65">
        <f t="shared" si="1"/>
        <v>380.83205958775113</v>
      </c>
      <c r="E23" s="89">
        <f t="shared" si="2"/>
        <v>7.2456632341657379</v>
      </c>
      <c r="F23" s="71">
        <f t="shared" si="3"/>
        <v>25.423379769002587</v>
      </c>
      <c r="G23" s="66"/>
      <c r="H23" s="66"/>
      <c r="I23" s="66"/>
      <c r="J23" s="66"/>
      <c r="K23" s="66"/>
    </row>
    <row r="24" spans="1:11" x14ac:dyDescent="0.25">
      <c r="A24" s="66">
        <v>8</v>
      </c>
      <c r="B24" s="110">
        <f t="shared" si="0"/>
        <v>337.95833587646484</v>
      </c>
      <c r="C24" s="90">
        <f t="shared" si="4"/>
        <v>76.88671875</v>
      </c>
      <c r="D24" s="65">
        <f t="shared" si="1"/>
        <v>453.76733452933178</v>
      </c>
      <c r="E24" s="89">
        <f t="shared" si="2"/>
        <v>8.6333206721714575</v>
      </c>
      <c r="F24" s="71">
        <f t="shared" si="3"/>
        <v>30.29235323568933</v>
      </c>
      <c r="G24" s="66"/>
      <c r="H24" s="66"/>
      <c r="I24" s="66"/>
      <c r="J24" s="66"/>
      <c r="K24" s="66"/>
    </row>
    <row r="25" spans="1:11" x14ac:dyDescent="0.25">
      <c r="A25" s="66">
        <v>9</v>
      </c>
      <c r="B25" s="110">
        <f t="shared" si="0"/>
        <v>422.44791984558105</v>
      </c>
      <c r="C25" s="90">
        <f t="shared" si="4"/>
        <v>115.330078125</v>
      </c>
      <c r="D25" s="65">
        <f t="shared" si="1"/>
        <v>533.80005822862904</v>
      </c>
      <c r="E25" s="89">
        <f t="shared" si="2"/>
        <v>10.156013284410751</v>
      </c>
      <c r="F25" s="71">
        <f t="shared" si="3"/>
        <v>35.635134331265789</v>
      </c>
      <c r="G25" s="66"/>
      <c r="H25" s="66"/>
      <c r="I25" s="66"/>
      <c r="J25" s="66"/>
      <c r="K25" s="66"/>
    </row>
    <row r="26" spans="1:11" x14ac:dyDescent="0.25">
      <c r="A26" s="66">
        <v>10</v>
      </c>
      <c r="B26" s="110">
        <f t="shared" si="0"/>
        <v>528.05989980697632</v>
      </c>
      <c r="C26" s="90">
        <f t="shared" si="4"/>
        <v>172.9951171875</v>
      </c>
      <c r="D26" s="65">
        <f t="shared" si="1"/>
        <v>617.13640788623263</v>
      </c>
      <c r="E26" s="89">
        <f t="shared" si="2"/>
        <v>11.74156027180808</v>
      </c>
      <c r="F26" s="71">
        <f t="shared" si="3"/>
        <v>41.198457094063436</v>
      </c>
      <c r="G26" s="66"/>
      <c r="H26" s="66"/>
      <c r="I26" s="66"/>
      <c r="J26" s="66"/>
      <c r="K26" s="66"/>
    </row>
    <row r="27" spans="1:11" x14ac:dyDescent="0.25">
      <c r="A27" s="66">
        <v>11</v>
      </c>
      <c r="B27" s="110">
        <f t="shared" si="0"/>
        <v>660.0748747587204</v>
      </c>
      <c r="C27" s="90">
        <f t="shared" si="4"/>
        <v>259.49267578125</v>
      </c>
      <c r="D27" s="65">
        <f t="shared" si="1"/>
        <v>696.25001250846049</v>
      </c>
      <c r="E27" s="89">
        <f t="shared" si="2"/>
        <v>13.246765839202066</v>
      </c>
      <c r="F27" s="71">
        <f t="shared" si="3"/>
        <v>46.479880137551106</v>
      </c>
      <c r="G27" s="66"/>
      <c r="H27" s="66"/>
      <c r="I27" s="66"/>
      <c r="J27" s="66"/>
      <c r="K27" s="66"/>
    </row>
    <row r="28" spans="1:11" x14ac:dyDescent="0.25">
      <c r="A28" s="66">
        <v>12</v>
      </c>
      <c r="B28" s="110">
        <f t="shared" si="0"/>
        <v>825.0935934484005</v>
      </c>
      <c r="C28" s="90">
        <f t="shared" si="4"/>
        <v>364.61267578125</v>
      </c>
      <c r="D28" s="65">
        <f t="shared" si="1"/>
        <v>800.35969023099972</v>
      </c>
      <c r="E28" s="89">
        <f t="shared" si="2"/>
        <v>15.227543573649157</v>
      </c>
      <c r="F28" s="71">
        <f t="shared" si="3"/>
        <v>53.429977451400553</v>
      </c>
      <c r="G28" s="66"/>
      <c r="H28" s="66"/>
      <c r="I28" s="66"/>
      <c r="J28" s="66"/>
      <c r="K28" s="66"/>
    </row>
    <row r="29" spans="1:11" x14ac:dyDescent="0.25">
      <c r="A29" s="66">
        <v>13</v>
      </c>
      <c r="B29" s="110">
        <f t="shared" si="0"/>
        <v>1031.3669918105006</v>
      </c>
      <c r="C29" s="90">
        <f t="shared" si="4"/>
        <v>469.73267578125001</v>
      </c>
      <c r="D29" s="65">
        <f t="shared" si="1"/>
        <v>976.17393024131661</v>
      </c>
      <c r="E29" s="89">
        <f t="shared" si="2"/>
        <v>18.572563360755645</v>
      </c>
      <c r="F29" s="71">
        <f t="shared" si="3"/>
        <v>65.166888985107519</v>
      </c>
      <c r="G29" s="66"/>
      <c r="H29" s="66"/>
      <c r="I29" s="66"/>
      <c r="J29" s="66"/>
      <c r="K29" s="66"/>
    </row>
    <row r="30" spans="1:11" x14ac:dyDescent="0.25">
      <c r="A30" s="66">
        <v>14</v>
      </c>
      <c r="B30" s="110">
        <f t="shared" si="0"/>
        <v>1289.2087397631258</v>
      </c>
      <c r="C30" s="90">
        <f t="shared" si="4"/>
        <v>574.85267578125001</v>
      </c>
      <c r="D30" s="65">
        <f t="shared" si="1"/>
        <v>1241.6188731113555</v>
      </c>
      <c r="E30" s="89">
        <f t="shared" si="2"/>
        <v>23.622885713686365</v>
      </c>
      <c r="F30" s="71">
        <f t="shared" si="3"/>
        <v>82.887318293636369</v>
      </c>
      <c r="G30" s="66"/>
      <c r="H30" s="66"/>
      <c r="I30" s="66"/>
      <c r="J30" s="66"/>
      <c r="K30" s="66"/>
    </row>
    <row r="31" spans="1:11" x14ac:dyDescent="0.25">
      <c r="A31" s="66">
        <v>15</v>
      </c>
      <c r="B31" s="110">
        <f t="shared" si="0"/>
        <v>1611.5109247039072</v>
      </c>
      <c r="C31" s="90">
        <f t="shared" si="4"/>
        <v>679.97267578125002</v>
      </c>
      <c r="D31" s="65">
        <f t="shared" si="1"/>
        <v>1619.1021945560472</v>
      </c>
      <c r="E31" s="89">
        <f t="shared" si="2"/>
        <v>30.804836273897401</v>
      </c>
      <c r="F31" s="71">
        <f t="shared" si="3"/>
        <v>108.08714482069263</v>
      </c>
      <c r="G31" s="66"/>
      <c r="H31" s="66"/>
      <c r="I31" s="66"/>
      <c r="J31" s="66"/>
      <c r="K31" s="66"/>
    </row>
    <row r="32" spans="1:11" x14ac:dyDescent="0.25">
      <c r="A32" s="66"/>
      <c r="B32" s="66"/>
      <c r="C32" s="66"/>
      <c r="D32" s="66"/>
      <c r="E32" s="66"/>
      <c r="F32" s="78"/>
      <c r="G32" s="66"/>
      <c r="H32" s="66"/>
      <c r="I32" s="66"/>
      <c r="J32" s="66"/>
      <c r="K32" s="66"/>
    </row>
    <row r="33" spans="1:12" x14ac:dyDescent="0.25">
      <c r="A33" s="70" t="s">
        <v>83</v>
      </c>
    </row>
    <row r="34" spans="1:12" s="66" customFormat="1" x14ac:dyDescent="0.25">
      <c r="A34" s="95"/>
      <c r="B34" s="96"/>
      <c r="C34" s="94"/>
      <c r="D34" s="94"/>
      <c r="E34" s="94"/>
      <c r="F34" s="94"/>
      <c r="G34" s="102" t="s">
        <v>76</v>
      </c>
      <c r="H34" s="102" t="s">
        <v>75</v>
      </c>
      <c r="I34" s="94"/>
      <c r="J34" s="94"/>
      <c r="K34" s="94"/>
      <c r="L34" s="94"/>
    </row>
    <row r="35" spans="1:12" s="66" customFormat="1" x14ac:dyDescent="0.25">
      <c r="A35" s="96" t="s">
        <v>6</v>
      </c>
      <c r="B35" s="94"/>
      <c r="C35" s="102" t="s">
        <v>2</v>
      </c>
      <c r="D35" s="102" t="s">
        <v>3</v>
      </c>
      <c r="E35" s="94"/>
      <c r="F35" s="94"/>
      <c r="G35" s="102" t="s">
        <v>57</v>
      </c>
      <c r="H35" s="102" t="s">
        <v>57</v>
      </c>
      <c r="I35" s="94"/>
      <c r="J35" s="94"/>
      <c r="K35" s="94"/>
      <c r="L35" s="94"/>
    </row>
    <row r="36" spans="1:12" s="66" customFormat="1" x14ac:dyDescent="0.25">
      <c r="A36" s="96" t="s">
        <v>80</v>
      </c>
      <c r="B36" s="124">
        <f>$B$5</f>
        <v>1</v>
      </c>
      <c r="C36" s="125">
        <f>$C$5</f>
        <v>128</v>
      </c>
      <c r="D36" s="125">
        <f>$D$5</f>
        <v>2</v>
      </c>
      <c r="E36" s="126">
        <f>$E$5</f>
        <v>200</v>
      </c>
      <c r="F36" s="139">
        <f>$F$5</f>
        <v>250</v>
      </c>
      <c r="G36" s="81">
        <f>$G$5</f>
        <v>14</v>
      </c>
      <c r="H36" s="81">
        <f>$H$5</f>
        <v>0</v>
      </c>
      <c r="I36" s="127">
        <f>$I$5</f>
        <v>7</v>
      </c>
      <c r="J36" s="127">
        <f>$J$5</f>
        <v>60</v>
      </c>
      <c r="K36" s="128">
        <f>$K$5</f>
        <v>0.75</v>
      </c>
      <c r="L36" s="128">
        <f>$L$5</f>
        <v>0.1</v>
      </c>
    </row>
    <row r="37" spans="1:12" s="66" customFormat="1" x14ac:dyDescent="0.25">
      <c r="A37" s="70"/>
    </row>
    <row r="38" spans="1:12" s="66" customFormat="1" x14ac:dyDescent="0.25">
      <c r="A38" s="70"/>
      <c r="B38" s="67" t="s">
        <v>94</v>
      </c>
      <c r="C38" s="84" t="s">
        <v>90</v>
      </c>
      <c r="D38" s="95" t="s">
        <v>95</v>
      </c>
      <c r="E38" s="95" t="s">
        <v>31</v>
      </c>
    </row>
    <row r="39" spans="1:12" s="66" customFormat="1" x14ac:dyDescent="0.25">
      <c r="A39" s="69" t="s">
        <v>7</v>
      </c>
      <c r="B39" s="67" t="s">
        <v>72</v>
      </c>
      <c r="C39" s="84" t="s">
        <v>8</v>
      </c>
      <c r="D39" s="95" t="s">
        <v>72</v>
      </c>
      <c r="E39" s="95" t="s">
        <v>32</v>
      </c>
      <c r="F39" s="67" t="s">
        <v>20</v>
      </c>
    </row>
    <row r="40" spans="1:12" s="66" customFormat="1" x14ac:dyDescent="0.25">
      <c r="A40" s="66">
        <v>0</v>
      </c>
      <c r="B40" s="110">
        <f>bandwidth10*historicalResourcePercent10*mbToGB*secondsPerYear*POWER(1+bandwidthGrowth,A40)*historicalSyncTime10/365</f>
        <v>64.800000000000011</v>
      </c>
      <c r="C40" s="65">
        <f>bandwidth10*historicalResourcePercent10*LN(1+bandwidthGrowth)*mbToGB*secondsPerYear*POWER(1+bandwidthGrowth,A40)*historicalSyncTime10/365</f>
        <v>14.459702125160796</v>
      </c>
      <c r="D40" s="110">
        <f>B40+C40*assumevalidBlockTime/365</f>
        <v>73.119280674750058</v>
      </c>
      <c r="E40" s="51">
        <f t="shared" ref="E40:E55" si="5">(B40*KBperGB/secondsPerYear)*secondsPerBlock/1000</f>
        <v>1.2328767123287676</v>
      </c>
      <c r="F40" s="71">
        <f t="shared" ref="F40:F55" si="6">E40*1000*1000/(secondsPerBlock*avgTrSize)</f>
        <v>4.3258832011535704</v>
      </c>
    </row>
    <row r="41" spans="1:12" s="66" customFormat="1" x14ac:dyDescent="0.25">
      <c r="A41" s="66">
        <v>1</v>
      </c>
      <c r="B41" s="110">
        <f t="shared" ref="B41:B55" si="7">bandwidth10*historicalResourcePercent10*mbToGB*secondsPerYear*POWER(1+bandwidthGrowth,A41)*historicalSyncTime10/365</f>
        <v>81.000000000000014</v>
      </c>
      <c r="C41" s="65">
        <f t="shared" ref="C41:C55" si="8">bandwidth10*historicalResourcePercent10*LN(1+bandwidthGrowth)*mbToGB*secondsPerYear*POWER(1+bandwidthGrowth,A41)*historicalSyncTime10/365</f>
        <v>18.074627656450993</v>
      </c>
      <c r="D41" s="110">
        <f t="shared" ref="D41:D55" si="9">B41+C41*assumevalidBlockTime/365</f>
        <v>91.399100843437566</v>
      </c>
      <c r="E41" s="51">
        <f t="shared" si="5"/>
        <v>1.5410958904109591</v>
      </c>
      <c r="F41" s="71">
        <f t="shared" si="6"/>
        <v>5.4073540014419619</v>
      </c>
    </row>
    <row r="42" spans="1:12" s="66" customFormat="1" x14ac:dyDescent="0.25">
      <c r="A42" s="66">
        <v>2</v>
      </c>
      <c r="B42" s="110">
        <f t="shared" si="7"/>
        <v>101.25000000000001</v>
      </c>
      <c r="C42" s="65">
        <f t="shared" si="8"/>
        <v>22.593284570563743</v>
      </c>
      <c r="D42" s="110">
        <f t="shared" si="9"/>
        <v>114.24887605429696</v>
      </c>
      <c r="E42" s="51">
        <f t="shared" si="5"/>
        <v>1.9263698630136989</v>
      </c>
      <c r="F42" s="71">
        <f t="shared" si="6"/>
        <v>6.7591925018024526</v>
      </c>
    </row>
    <row r="43" spans="1:12" s="66" customFormat="1" x14ac:dyDescent="0.25">
      <c r="A43" s="66">
        <v>3</v>
      </c>
      <c r="B43" s="110">
        <f t="shared" si="7"/>
        <v>126.56250000000001</v>
      </c>
      <c r="C43" s="65">
        <f t="shared" si="8"/>
        <v>28.241605713204677</v>
      </c>
      <c r="D43" s="110">
        <f t="shared" si="9"/>
        <v>142.81109506787121</v>
      </c>
      <c r="E43" s="51">
        <f t="shared" si="5"/>
        <v>2.4079623287671232</v>
      </c>
      <c r="F43" s="71">
        <f t="shared" si="6"/>
        <v>8.4489906272530639</v>
      </c>
    </row>
    <row r="44" spans="1:12" s="66" customFormat="1" x14ac:dyDescent="0.25">
      <c r="A44" s="66">
        <v>4</v>
      </c>
      <c r="B44" s="110">
        <f t="shared" si="7"/>
        <v>158.20312500000003</v>
      </c>
      <c r="C44" s="65">
        <f t="shared" si="8"/>
        <v>35.302007141505847</v>
      </c>
      <c r="D44" s="110">
        <f t="shared" si="9"/>
        <v>178.513868834839</v>
      </c>
      <c r="E44" s="51">
        <f t="shared" si="5"/>
        <v>3.0099529109589049</v>
      </c>
      <c r="F44" s="71">
        <f t="shared" si="6"/>
        <v>10.561238284066333</v>
      </c>
    </row>
    <row r="45" spans="1:12" s="66" customFormat="1" x14ac:dyDescent="0.25">
      <c r="A45" s="66">
        <v>5</v>
      </c>
      <c r="B45" s="110">
        <f t="shared" si="7"/>
        <v>197.75390625000003</v>
      </c>
      <c r="C45" s="65">
        <f t="shared" si="8"/>
        <v>44.127508926882307</v>
      </c>
      <c r="D45" s="110">
        <f t="shared" si="9"/>
        <v>223.14233604354877</v>
      </c>
      <c r="E45" s="51">
        <f t="shared" si="5"/>
        <v>3.7624411386986307</v>
      </c>
      <c r="F45" s="71">
        <f t="shared" si="6"/>
        <v>13.201547855082916</v>
      </c>
    </row>
    <row r="46" spans="1:12" s="66" customFormat="1" x14ac:dyDescent="0.25">
      <c r="A46" s="66">
        <v>6</v>
      </c>
      <c r="B46" s="110">
        <f t="shared" si="7"/>
        <v>247.19238281250003</v>
      </c>
      <c r="C46" s="65">
        <f t="shared" si="8"/>
        <v>55.159386158602885</v>
      </c>
      <c r="D46" s="110">
        <f t="shared" si="9"/>
        <v>278.92792005443596</v>
      </c>
      <c r="E46" s="51">
        <f t="shared" si="5"/>
        <v>4.7030514233732887</v>
      </c>
      <c r="F46" s="71">
        <f t="shared" si="6"/>
        <v>16.501934818853645</v>
      </c>
    </row>
    <row r="47" spans="1:12" s="66" customFormat="1" x14ac:dyDescent="0.25">
      <c r="A47" s="66">
        <v>7</v>
      </c>
      <c r="B47" s="110">
        <f t="shared" si="7"/>
        <v>308.99047851562506</v>
      </c>
      <c r="C47" s="65">
        <f t="shared" si="8"/>
        <v>68.94923269825361</v>
      </c>
      <c r="D47" s="110">
        <f t="shared" si="9"/>
        <v>348.65990006804492</v>
      </c>
      <c r="E47" s="51">
        <f t="shared" si="5"/>
        <v>5.87881427921661</v>
      </c>
      <c r="F47" s="71">
        <f t="shared" si="6"/>
        <v>20.627418523567052</v>
      </c>
    </row>
    <row r="48" spans="1:12" s="66" customFormat="1" x14ac:dyDescent="0.25">
      <c r="A48" s="66">
        <v>8</v>
      </c>
      <c r="B48" s="110">
        <f t="shared" si="7"/>
        <v>386.23809814453131</v>
      </c>
      <c r="C48" s="65">
        <f t="shared" si="8"/>
        <v>86.186540872817005</v>
      </c>
      <c r="D48" s="110">
        <f t="shared" si="9"/>
        <v>435.82487508505619</v>
      </c>
      <c r="E48" s="51">
        <f t="shared" si="5"/>
        <v>7.3485178490207623</v>
      </c>
      <c r="F48" s="71">
        <f t="shared" si="6"/>
        <v>25.784273154458816</v>
      </c>
    </row>
    <row r="49" spans="1:12" s="66" customFormat="1" x14ac:dyDescent="0.25">
      <c r="A49" s="66">
        <v>9</v>
      </c>
      <c r="B49" s="110">
        <f t="shared" si="7"/>
        <v>482.79762268066412</v>
      </c>
      <c r="C49" s="65">
        <f t="shared" si="8"/>
        <v>107.73317609102126</v>
      </c>
      <c r="D49" s="110">
        <f t="shared" si="9"/>
        <v>544.78109385632024</v>
      </c>
      <c r="E49" s="51">
        <f t="shared" si="5"/>
        <v>9.1856473112759538</v>
      </c>
      <c r="F49" s="71">
        <f t="shared" si="6"/>
        <v>32.23034144307352</v>
      </c>
    </row>
    <row r="50" spans="1:12" s="66" customFormat="1" x14ac:dyDescent="0.25">
      <c r="A50" s="66">
        <v>10</v>
      </c>
      <c r="B50" s="110">
        <f t="shared" si="7"/>
        <v>603.49702835083019</v>
      </c>
      <c r="C50" s="65">
        <f t="shared" si="8"/>
        <v>134.66647011377657</v>
      </c>
      <c r="D50" s="110">
        <f t="shared" si="9"/>
        <v>680.9763673204003</v>
      </c>
      <c r="E50" s="51">
        <f t="shared" si="5"/>
        <v>11.482059139094943</v>
      </c>
      <c r="F50" s="71">
        <f t="shared" si="6"/>
        <v>40.287926803841906</v>
      </c>
    </row>
    <row r="51" spans="1:12" s="66" customFormat="1" x14ac:dyDescent="0.25">
      <c r="A51" s="66">
        <v>11</v>
      </c>
      <c r="B51" s="110">
        <f t="shared" si="7"/>
        <v>754.37128543853771</v>
      </c>
      <c r="C51" s="65">
        <f t="shared" si="8"/>
        <v>168.3330876422207</v>
      </c>
      <c r="D51" s="110">
        <f t="shared" si="9"/>
        <v>851.22045915050035</v>
      </c>
      <c r="E51" s="51">
        <f t="shared" si="5"/>
        <v>14.352573923868679</v>
      </c>
      <c r="F51" s="71">
        <f t="shared" si="6"/>
        <v>50.359908504802384</v>
      </c>
    </row>
    <row r="52" spans="1:12" s="66" customFormat="1" x14ac:dyDescent="0.25">
      <c r="A52" s="66">
        <v>12</v>
      </c>
      <c r="B52" s="110">
        <f t="shared" si="7"/>
        <v>942.96410679817211</v>
      </c>
      <c r="C52" s="65">
        <f t="shared" si="8"/>
        <v>210.4163595527759</v>
      </c>
      <c r="D52" s="110">
        <f t="shared" si="9"/>
        <v>1064.0255739381255</v>
      </c>
      <c r="E52" s="51">
        <f t="shared" si="5"/>
        <v>17.940717404835848</v>
      </c>
      <c r="F52" s="71">
        <f t="shared" si="6"/>
        <v>62.949885631002971</v>
      </c>
    </row>
    <row r="53" spans="1:12" s="66" customFormat="1" x14ac:dyDescent="0.25">
      <c r="A53" s="66">
        <v>13</v>
      </c>
      <c r="B53" s="110">
        <f t="shared" si="7"/>
        <v>1178.7051334977152</v>
      </c>
      <c r="C53" s="65">
        <f t="shared" si="8"/>
        <v>263.02044944096986</v>
      </c>
      <c r="D53" s="110">
        <f t="shared" si="9"/>
        <v>1330.0319674226569</v>
      </c>
      <c r="E53" s="51">
        <f t="shared" si="5"/>
        <v>22.425896756044811</v>
      </c>
      <c r="F53" s="71">
        <f t="shared" si="6"/>
        <v>78.687357038753731</v>
      </c>
    </row>
    <row r="54" spans="1:12" s="66" customFormat="1" x14ac:dyDescent="0.25">
      <c r="A54" s="66">
        <v>14</v>
      </c>
      <c r="B54" s="110">
        <f t="shared" si="7"/>
        <v>1473.381416872144</v>
      </c>
      <c r="C54" s="65">
        <f t="shared" si="8"/>
        <v>328.77556180121235</v>
      </c>
      <c r="D54" s="110">
        <f t="shared" si="9"/>
        <v>1662.539959278321</v>
      </c>
      <c r="E54" s="51">
        <f t="shared" si="5"/>
        <v>28.032370945056012</v>
      </c>
      <c r="F54" s="71">
        <f t="shared" si="6"/>
        <v>98.359196298442157</v>
      </c>
    </row>
    <row r="55" spans="1:12" s="66" customFormat="1" x14ac:dyDescent="0.25">
      <c r="A55" s="66">
        <v>15</v>
      </c>
      <c r="B55" s="110">
        <f t="shared" si="7"/>
        <v>1841.7267710901799</v>
      </c>
      <c r="C55" s="65">
        <f t="shared" si="8"/>
        <v>410.96945225151546</v>
      </c>
      <c r="D55" s="110">
        <f t="shared" si="9"/>
        <v>2078.1749490979009</v>
      </c>
      <c r="E55" s="51">
        <f t="shared" si="5"/>
        <v>35.040463681320013</v>
      </c>
      <c r="F55" s="71">
        <f t="shared" si="6"/>
        <v>122.94899537305267</v>
      </c>
    </row>
    <row r="56" spans="1:12" s="36" customFormat="1" x14ac:dyDescent="0.25"/>
    <row r="57" spans="1:12" x14ac:dyDescent="0.25">
      <c r="A57" s="70" t="s">
        <v>89</v>
      </c>
    </row>
    <row r="58" spans="1:12" s="66" customFormat="1" x14ac:dyDescent="0.25">
      <c r="A58" s="95"/>
      <c r="B58" s="96"/>
      <c r="C58" s="94"/>
      <c r="D58" s="94"/>
      <c r="E58" s="94"/>
      <c r="F58" s="94"/>
      <c r="G58" s="102" t="s">
        <v>76</v>
      </c>
      <c r="H58" s="102" t="s">
        <v>75</v>
      </c>
      <c r="I58" s="94"/>
      <c r="J58" s="94"/>
      <c r="K58" s="94"/>
      <c r="L58" s="94"/>
    </row>
    <row r="59" spans="1:12" s="66" customFormat="1" x14ac:dyDescent="0.25">
      <c r="A59" s="96" t="s">
        <v>6</v>
      </c>
      <c r="B59" s="94"/>
      <c r="C59" s="102" t="s">
        <v>2</v>
      </c>
      <c r="D59" s="102" t="s">
        <v>3</v>
      </c>
      <c r="E59" s="94"/>
      <c r="F59" s="180"/>
      <c r="G59" s="102" t="s">
        <v>57</v>
      </c>
      <c r="H59" s="102" t="s">
        <v>57</v>
      </c>
      <c r="I59" s="94"/>
      <c r="J59" s="94"/>
      <c r="K59" s="94"/>
      <c r="L59" s="94"/>
    </row>
    <row r="60" spans="1:12" s="66" customFormat="1" x14ac:dyDescent="0.25">
      <c r="A60" s="96" t="s">
        <v>80</v>
      </c>
      <c r="B60" s="124">
        <f>$B$5</f>
        <v>1</v>
      </c>
      <c r="C60" s="125">
        <f>$C$5</f>
        <v>128</v>
      </c>
      <c r="D60" s="125">
        <f>$D$5</f>
        <v>2</v>
      </c>
      <c r="E60" s="126">
        <f>$E$5</f>
        <v>200</v>
      </c>
      <c r="F60" s="139">
        <f>$F$5</f>
        <v>250</v>
      </c>
      <c r="G60" s="81">
        <f>$G$5</f>
        <v>14</v>
      </c>
      <c r="H60" s="81">
        <f>$H$5</f>
        <v>0</v>
      </c>
      <c r="I60" s="127">
        <f>$I$5</f>
        <v>7</v>
      </c>
      <c r="J60" s="127">
        <f>$J$5</f>
        <v>60</v>
      </c>
      <c r="K60" s="128">
        <f>$K$5</f>
        <v>0.75</v>
      </c>
      <c r="L60" s="128">
        <f>$L$5</f>
        <v>0.1</v>
      </c>
    </row>
    <row r="61" spans="1:12" s="66" customFormat="1" x14ac:dyDescent="0.25">
      <c r="A61" s="70"/>
      <c r="F61" s="171"/>
    </row>
    <row r="62" spans="1:12" s="66" customFormat="1" x14ac:dyDescent="0.25">
      <c r="B62" s="84" t="s">
        <v>31</v>
      </c>
      <c r="C62" s="187" t="s">
        <v>31</v>
      </c>
      <c r="D62" s="84"/>
    </row>
    <row r="63" spans="1:12" s="66" customFormat="1" x14ac:dyDescent="0.25">
      <c r="A63" s="69" t="s">
        <v>7</v>
      </c>
      <c r="B63" s="84" t="s">
        <v>28</v>
      </c>
      <c r="C63" s="187" t="s">
        <v>190</v>
      </c>
      <c r="D63" s="84" t="s">
        <v>17</v>
      </c>
      <c r="F63" s="84"/>
      <c r="H63" s="187"/>
    </row>
    <row r="64" spans="1:12" s="66" customFormat="1" x14ac:dyDescent="0.25">
      <c r="A64" s="66">
        <v>0</v>
      </c>
      <c r="B64" s="82">
        <f>throughput11*syncResourcePercent11*POWER(1+cpuGrowth,A64)*recentSyncTime11*secondsPerYear/365/1000/1000</f>
        <v>90.72</v>
      </c>
      <c r="C64" s="87">
        <f t="shared" ref="C64:C79" si="10">B64*1000*1000/(assumevalidBlockTime*secondsPerYear/365)</f>
        <v>5</v>
      </c>
      <c r="D64" s="64">
        <f t="shared" ref="D64:D79" si="11">C64*(avgTrSize/1000/1000)*secondsPerBlock</f>
        <v>1.425</v>
      </c>
      <c r="F64" s="87"/>
    </row>
    <row r="65" spans="1:6" s="66" customFormat="1" x14ac:dyDescent="0.25">
      <c r="A65" s="66">
        <v>1</v>
      </c>
      <c r="B65" s="82">
        <f t="shared" ref="B65:B79" si="12">throughput11*syncResourcePercent11*POWER(1+cpuGrowth,A65)*recentSyncTime11*secondsPerYear/365/1000/1000</f>
        <v>106.14239999999999</v>
      </c>
      <c r="C65" s="87">
        <f t="shared" si="10"/>
        <v>5.85</v>
      </c>
      <c r="D65" s="64">
        <f t="shared" si="11"/>
        <v>1.6672499999999999</v>
      </c>
      <c r="F65" s="87"/>
    </row>
    <row r="66" spans="1:6" s="66" customFormat="1" x14ac:dyDescent="0.25">
      <c r="A66" s="66">
        <v>2</v>
      </c>
      <c r="B66" s="82">
        <f t="shared" si="12"/>
        <v>124.18660799999998</v>
      </c>
      <c r="C66" s="87">
        <f t="shared" si="10"/>
        <v>6.8444999999999991</v>
      </c>
      <c r="D66" s="64">
        <f t="shared" si="11"/>
        <v>1.9506824999999997</v>
      </c>
      <c r="F66" s="87"/>
    </row>
    <row r="67" spans="1:6" s="66" customFormat="1" x14ac:dyDescent="0.25">
      <c r="A67" s="66">
        <v>3</v>
      </c>
      <c r="B67" s="82">
        <f t="shared" si="12"/>
        <v>145.29833135999999</v>
      </c>
      <c r="C67" s="87">
        <f t="shared" si="10"/>
        <v>8.0080649999999984</v>
      </c>
      <c r="D67" s="64">
        <f t="shared" si="11"/>
        <v>2.2822985249999994</v>
      </c>
      <c r="F67" s="87"/>
    </row>
    <row r="68" spans="1:6" s="66" customFormat="1" x14ac:dyDescent="0.25">
      <c r="A68" s="66">
        <v>4</v>
      </c>
      <c r="B68" s="82">
        <f t="shared" si="12"/>
        <v>169.99904769119996</v>
      </c>
      <c r="C68" s="87">
        <f t="shared" si="10"/>
        <v>9.3694360499999974</v>
      </c>
      <c r="D68" s="64">
        <f t="shared" si="11"/>
        <v>2.6702892742499991</v>
      </c>
      <c r="F68" s="87"/>
    </row>
    <row r="69" spans="1:6" s="66" customFormat="1" x14ac:dyDescent="0.25">
      <c r="A69" s="66">
        <v>5</v>
      </c>
      <c r="B69" s="82">
        <f t="shared" si="12"/>
        <v>198.8988857987039</v>
      </c>
      <c r="C69" s="87">
        <f t="shared" si="10"/>
        <v>10.962240178499995</v>
      </c>
      <c r="D69" s="64">
        <f t="shared" si="11"/>
        <v>3.1242384508724985</v>
      </c>
      <c r="F69" s="87"/>
    </row>
    <row r="70" spans="1:6" s="66" customFormat="1" x14ac:dyDescent="0.25">
      <c r="A70" s="66">
        <v>6</v>
      </c>
      <c r="B70" s="82">
        <f t="shared" si="12"/>
        <v>232.71169638448356</v>
      </c>
      <c r="C70" s="87">
        <f t="shared" si="10"/>
        <v>12.825821008844994</v>
      </c>
      <c r="D70" s="64">
        <f t="shared" si="11"/>
        <v>3.655358987520823</v>
      </c>
      <c r="F70" s="87"/>
    </row>
    <row r="71" spans="1:6" s="66" customFormat="1" x14ac:dyDescent="0.25">
      <c r="A71" s="66">
        <v>7</v>
      </c>
      <c r="B71" s="82">
        <f t="shared" si="12"/>
        <v>272.27268476984574</v>
      </c>
      <c r="C71" s="87">
        <f t="shared" si="10"/>
        <v>15.00621058034864</v>
      </c>
      <c r="D71" s="64">
        <f t="shared" si="11"/>
        <v>4.2767700153993617</v>
      </c>
      <c r="F71" s="87"/>
    </row>
    <row r="72" spans="1:6" s="66" customFormat="1" x14ac:dyDescent="0.25">
      <c r="A72" s="66">
        <v>8</v>
      </c>
      <c r="B72" s="82">
        <f t="shared" si="12"/>
        <v>318.55904118071953</v>
      </c>
      <c r="C72" s="87">
        <f t="shared" si="10"/>
        <v>17.55726637900791</v>
      </c>
      <c r="D72" s="64">
        <f t="shared" si="11"/>
        <v>5.0038209180172544</v>
      </c>
      <c r="F72" s="87"/>
    </row>
    <row r="73" spans="1:6" s="66" customFormat="1" x14ac:dyDescent="0.25">
      <c r="A73" s="66">
        <v>9</v>
      </c>
      <c r="B73" s="82">
        <f t="shared" si="12"/>
        <v>372.71407818144178</v>
      </c>
      <c r="C73" s="87">
        <f t="shared" si="10"/>
        <v>20.542001663439251</v>
      </c>
      <c r="D73" s="64">
        <f t="shared" si="11"/>
        <v>5.8544704740801858</v>
      </c>
      <c r="F73" s="87"/>
    </row>
    <row r="74" spans="1:6" s="66" customFormat="1" x14ac:dyDescent="0.25">
      <c r="A74" s="66">
        <v>10</v>
      </c>
      <c r="B74" s="82">
        <f t="shared" si="12"/>
        <v>436.07547147228695</v>
      </c>
      <c r="C74" s="87">
        <f t="shared" si="10"/>
        <v>24.034141946223926</v>
      </c>
      <c r="D74" s="64">
        <f t="shared" si="11"/>
        <v>6.8497304546738196</v>
      </c>
      <c r="F74" s="87"/>
    </row>
    <row r="75" spans="1:6" s="66" customFormat="1" x14ac:dyDescent="0.25">
      <c r="A75" s="66">
        <v>11</v>
      </c>
      <c r="B75" s="82">
        <f t="shared" si="12"/>
        <v>510.20830162257562</v>
      </c>
      <c r="C75" s="87">
        <f t="shared" si="10"/>
        <v>28.119946077081991</v>
      </c>
      <c r="D75" s="64">
        <f t="shared" si="11"/>
        <v>8.0141846319683676</v>
      </c>
      <c r="F75" s="87"/>
    </row>
    <row r="76" spans="1:6" s="66" customFormat="1" x14ac:dyDescent="0.25">
      <c r="A76" s="66">
        <v>12</v>
      </c>
      <c r="B76" s="82">
        <f t="shared" si="12"/>
        <v>596.94371289841342</v>
      </c>
      <c r="C76" s="87">
        <f t="shared" si="10"/>
        <v>32.900336910185928</v>
      </c>
      <c r="D76" s="64">
        <f t="shared" si="11"/>
        <v>9.3765960194029887</v>
      </c>
      <c r="F76" s="87"/>
    </row>
    <row r="77" spans="1:6" s="66" customFormat="1" x14ac:dyDescent="0.25">
      <c r="A77" s="66">
        <v>13</v>
      </c>
      <c r="B77" s="82">
        <f t="shared" si="12"/>
        <v>698.4241440911436</v>
      </c>
      <c r="C77" s="87">
        <f t="shared" si="10"/>
        <v>38.493394184917527</v>
      </c>
      <c r="D77" s="64">
        <f t="shared" si="11"/>
        <v>10.970617342701496</v>
      </c>
      <c r="F77" s="87"/>
    </row>
    <row r="78" spans="1:6" s="66" customFormat="1" x14ac:dyDescent="0.25">
      <c r="A78" s="66">
        <v>14</v>
      </c>
      <c r="B78" s="82">
        <f t="shared" si="12"/>
        <v>817.15624858663818</v>
      </c>
      <c r="C78" s="87">
        <f t="shared" si="10"/>
        <v>45.037271196353508</v>
      </c>
      <c r="D78" s="64">
        <f t="shared" si="11"/>
        <v>12.835622290960751</v>
      </c>
      <c r="F78" s="87"/>
    </row>
    <row r="79" spans="1:6" s="66" customFormat="1" x14ac:dyDescent="0.25">
      <c r="A79" s="66">
        <v>15</v>
      </c>
      <c r="B79" s="82">
        <f t="shared" si="12"/>
        <v>956.07281084636656</v>
      </c>
      <c r="C79" s="87">
        <f t="shared" si="10"/>
        <v>52.693607299733607</v>
      </c>
      <c r="D79" s="64">
        <f t="shared" si="11"/>
        <v>15.017678080424078</v>
      </c>
      <c r="F79" s="87"/>
    </row>
    <row r="80" spans="1:6" s="66" customFormat="1" x14ac:dyDescent="0.25">
      <c r="A80" s="70"/>
    </row>
    <row r="81" spans="1:12" x14ac:dyDescent="0.25">
      <c r="A81" s="70" t="s">
        <v>84</v>
      </c>
    </row>
    <row r="82" spans="1:12" s="83" customFormat="1" x14ac:dyDescent="0.25">
      <c r="A82" s="95"/>
      <c r="B82" s="96"/>
      <c r="C82" s="94"/>
      <c r="D82" s="94"/>
      <c r="E82" s="94"/>
      <c r="F82" s="94"/>
      <c r="G82" s="102" t="s">
        <v>76</v>
      </c>
      <c r="H82" s="102" t="s">
        <v>75</v>
      </c>
      <c r="I82" s="94"/>
      <c r="J82" s="94"/>
      <c r="K82" s="94"/>
      <c r="L82" s="94"/>
    </row>
    <row r="83" spans="1:12" s="83" customFormat="1" x14ac:dyDescent="0.25">
      <c r="A83" s="96" t="s">
        <v>6</v>
      </c>
      <c r="B83" s="94"/>
      <c r="C83" s="102" t="s">
        <v>2</v>
      </c>
      <c r="D83" s="102" t="s">
        <v>3</v>
      </c>
      <c r="E83" s="94"/>
      <c r="F83" s="94"/>
      <c r="G83" s="102" t="s">
        <v>57</v>
      </c>
      <c r="H83" s="102" t="s">
        <v>57</v>
      </c>
      <c r="I83" s="94"/>
      <c r="J83" s="94"/>
      <c r="K83" s="94"/>
      <c r="L83" s="94"/>
    </row>
    <row r="84" spans="1:12" s="83" customFormat="1" x14ac:dyDescent="0.25">
      <c r="A84" s="96" t="s">
        <v>80</v>
      </c>
      <c r="B84" s="124">
        <f>$B$5</f>
        <v>1</v>
      </c>
      <c r="C84" s="125">
        <f>$C$5</f>
        <v>128</v>
      </c>
      <c r="D84" s="125">
        <f>$D$5</f>
        <v>2</v>
      </c>
      <c r="E84" s="126">
        <f>$E$5</f>
        <v>200</v>
      </c>
      <c r="F84" s="139">
        <f>$F$5</f>
        <v>250</v>
      </c>
      <c r="G84" s="81">
        <f>$G$5</f>
        <v>14</v>
      </c>
      <c r="H84" s="81">
        <f>$H$5</f>
        <v>0</v>
      </c>
      <c r="I84" s="127">
        <f>$I$5</f>
        <v>7</v>
      </c>
      <c r="J84" s="127">
        <f>$J$5</f>
        <v>60</v>
      </c>
      <c r="K84" s="128">
        <f>$K$5</f>
        <v>0.75</v>
      </c>
      <c r="L84" s="128">
        <f>$L$5</f>
        <v>0.1</v>
      </c>
    </row>
    <row r="86" spans="1:12" s="83" customFormat="1" x14ac:dyDescent="0.25">
      <c r="A86" s="86"/>
      <c r="B86" s="84" t="s">
        <v>31</v>
      </c>
      <c r="C86" s="84" t="s">
        <v>90</v>
      </c>
      <c r="D86" s="95" t="s">
        <v>95</v>
      </c>
      <c r="F86" s="84" t="s">
        <v>31</v>
      </c>
    </row>
    <row r="87" spans="1:12" s="83" customFormat="1" x14ac:dyDescent="0.25">
      <c r="A87" s="85" t="s">
        <v>7</v>
      </c>
      <c r="B87" s="84" t="s">
        <v>28</v>
      </c>
      <c r="C87" s="84" t="s">
        <v>8</v>
      </c>
      <c r="D87" s="95" t="s">
        <v>72</v>
      </c>
      <c r="E87" s="84" t="s">
        <v>20</v>
      </c>
      <c r="F87" s="84" t="s">
        <v>32</v>
      </c>
    </row>
    <row r="88" spans="1:12" s="83" customFormat="1" x14ac:dyDescent="0.25">
      <c r="A88" s="83">
        <v>0</v>
      </c>
      <c r="B88" s="82">
        <f t="shared" ref="B88:B103" si="13">throughput12*historicalResourcePercent12*POWER(1+cpuGrowth,A88)*(historicalSyncTime12/365)*secondsPerYear/1000/1000</f>
        <v>103.68</v>
      </c>
      <c r="C88" s="91">
        <f t="shared" ref="C88:C103" si="14">throughput12*historicalResourcePercent12*LN(1+cpuGrowth)*POWER(1+cpuGrowth,A88)*(historicalSyncTime12/365)*secondsPerYear/1000/1000</f>
        <v>16.278148676586039</v>
      </c>
      <c r="D88" s="110">
        <f t="shared" ref="D88:D103" si="15">((B88+C88*assumevalidBlockTime/365)*1000*1000)*avgTrSize/(KBperGB*1000)</f>
        <v>53.696617343806729</v>
      </c>
      <c r="E88" s="87">
        <f t="shared" ref="E88:E103" si="16">(C88*1000*1000)*(avgTrSize/1000)/KBperGB</f>
        <v>7.7321206213783684</v>
      </c>
      <c r="F88" s="89">
        <f t="shared" ref="F88:F103" si="17">E88*secondsPerBlock*avgTrSize/1000/1000</f>
        <v>2.203654377092835</v>
      </c>
    </row>
    <row r="89" spans="1:12" s="83" customFormat="1" x14ac:dyDescent="0.25">
      <c r="A89" s="83">
        <v>1</v>
      </c>
      <c r="B89" s="82">
        <f t="shared" si="13"/>
        <v>121.3056</v>
      </c>
      <c r="C89" s="91">
        <f t="shared" si="14"/>
        <v>19.045433951605659</v>
      </c>
      <c r="D89" s="110">
        <f t="shared" si="15"/>
        <v>62.825042292253883</v>
      </c>
      <c r="E89" s="87">
        <f t="shared" si="16"/>
        <v>9.0465811270126864</v>
      </c>
      <c r="F89" s="89">
        <f t="shared" si="17"/>
        <v>2.5782756211986162</v>
      </c>
    </row>
    <row r="90" spans="1:12" s="83" customFormat="1" x14ac:dyDescent="0.25">
      <c r="A90" s="83">
        <v>2</v>
      </c>
      <c r="B90" s="82">
        <f t="shared" si="13"/>
        <v>141.92755199999996</v>
      </c>
      <c r="C90" s="91">
        <f t="shared" si="14"/>
        <v>22.283157723378618</v>
      </c>
      <c r="D90" s="110">
        <f t="shared" si="15"/>
        <v>73.50529948193703</v>
      </c>
      <c r="E90" s="87">
        <f t="shared" si="16"/>
        <v>10.584499918604845</v>
      </c>
      <c r="F90" s="89">
        <f t="shared" si="17"/>
        <v>3.0165824768023808</v>
      </c>
    </row>
    <row r="91" spans="1:12" s="83" customFormat="1" x14ac:dyDescent="0.25">
      <c r="A91" s="83">
        <v>3</v>
      </c>
      <c r="B91" s="82">
        <f t="shared" si="13"/>
        <v>166.05523583999997</v>
      </c>
      <c r="C91" s="91">
        <f t="shared" si="14"/>
        <v>26.071294536352983</v>
      </c>
      <c r="D91" s="110">
        <f t="shared" si="15"/>
        <v>86.001200393866313</v>
      </c>
      <c r="E91" s="87">
        <f t="shared" si="16"/>
        <v>12.383864904767668</v>
      </c>
      <c r="F91" s="89">
        <f t="shared" si="17"/>
        <v>3.5294014978587858</v>
      </c>
    </row>
    <row r="92" spans="1:12" s="83" customFormat="1" x14ac:dyDescent="0.25">
      <c r="A92" s="83">
        <v>4</v>
      </c>
      <c r="B92" s="82">
        <f t="shared" si="13"/>
        <v>194.28462593279994</v>
      </c>
      <c r="C92" s="91">
        <f t="shared" si="14"/>
        <v>30.503414607532989</v>
      </c>
      <c r="D92" s="110">
        <f t="shared" si="15"/>
        <v>100.62140446082358</v>
      </c>
      <c r="E92" s="87">
        <f t="shared" si="16"/>
        <v>14.489121938578171</v>
      </c>
      <c r="F92" s="89">
        <f t="shared" si="17"/>
        <v>4.1293997524947779</v>
      </c>
    </row>
    <row r="93" spans="1:12" s="83" customFormat="1" x14ac:dyDescent="0.25">
      <c r="A93" s="83">
        <v>5</v>
      </c>
      <c r="B93" s="82">
        <f t="shared" si="13"/>
        <v>227.31301234137592</v>
      </c>
      <c r="C93" s="91">
        <f t="shared" si="14"/>
        <v>35.688995090813592</v>
      </c>
      <c r="D93" s="110">
        <f t="shared" si="15"/>
        <v>117.72704321916356</v>
      </c>
      <c r="E93" s="87">
        <f t="shared" si="16"/>
        <v>16.952272668136455</v>
      </c>
      <c r="F93" s="89">
        <f t="shared" si="17"/>
        <v>4.8313977104188899</v>
      </c>
    </row>
    <row r="94" spans="1:12" s="83" customFormat="1" x14ac:dyDescent="0.25">
      <c r="A94" s="83">
        <v>6</v>
      </c>
      <c r="B94" s="82">
        <f t="shared" si="13"/>
        <v>265.95622443940977</v>
      </c>
      <c r="C94" s="91">
        <f t="shared" si="14"/>
        <v>41.756124256251908</v>
      </c>
      <c r="D94" s="110">
        <f t="shared" si="15"/>
        <v>137.74064056642135</v>
      </c>
      <c r="E94" s="87">
        <f t="shared" si="16"/>
        <v>19.834159021719657</v>
      </c>
      <c r="F94" s="89">
        <f t="shared" si="17"/>
        <v>5.6527353211901019</v>
      </c>
    </row>
    <row r="95" spans="1:12" s="83" customFormat="1" x14ac:dyDescent="0.25">
      <c r="A95" s="83">
        <v>7</v>
      </c>
      <c r="B95" s="82">
        <f t="shared" si="13"/>
        <v>311.16878259410947</v>
      </c>
      <c r="C95" s="91">
        <f t="shared" si="14"/>
        <v>48.854665379814733</v>
      </c>
      <c r="D95" s="110">
        <f t="shared" si="15"/>
        <v>161.15654946271297</v>
      </c>
      <c r="E95" s="87">
        <f t="shared" si="16"/>
        <v>23.205966055411995</v>
      </c>
      <c r="F95" s="89">
        <f t="shared" si="17"/>
        <v>6.6137003257924176</v>
      </c>
    </row>
    <row r="96" spans="1:12" s="83" customFormat="1" x14ac:dyDescent="0.25">
      <c r="A96" s="83">
        <v>8</v>
      </c>
      <c r="B96" s="82">
        <f t="shared" si="13"/>
        <v>364.067475635108</v>
      </c>
      <c r="C96" s="91">
        <f t="shared" si="14"/>
        <v>57.159958494383218</v>
      </c>
      <c r="D96" s="110">
        <f t="shared" si="15"/>
        <v>188.55316287137416</v>
      </c>
      <c r="E96" s="87">
        <f t="shared" si="16"/>
        <v>27.150980284832027</v>
      </c>
      <c r="F96" s="89">
        <f t="shared" si="17"/>
        <v>7.7380293811771281</v>
      </c>
    </row>
    <row r="97" spans="1:8" s="83" customFormat="1" x14ac:dyDescent="0.25">
      <c r="A97" s="83">
        <v>9</v>
      </c>
      <c r="B97" s="82">
        <f t="shared" si="13"/>
        <v>425.95894649307633</v>
      </c>
      <c r="C97" s="91">
        <f t="shared" si="14"/>
        <v>66.877151438428356</v>
      </c>
      <c r="D97" s="110">
        <f t="shared" si="15"/>
        <v>220.60720055950776</v>
      </c>
      <c r="E97" s="87">
        <f t="shared" si="16"/>
        <v>31.766646933253462</v>
      </c>
      <c r="F97" s="89">
        <f t="shared" si="17"/>
        <v>9.0534943759772357</v>
      </c>
    </row>
    <row r="98" spans="1:8" s="83" customFormat="1" x14ac:dyDescent="0.25">
      <c r="A98" s="83">
        <v>10</v>
      </c>
      <c r="B98" s="82">
        <f t="shared" si="13"/>
        <v>498.37196739689938</v>
      </c>
      <c r="C98" s="91">
        <f t="shared" si="14"/>
        <v>78.246267182961176</v>
      </c>
      <c r="D98" s="110">
        <f t="shared" si="15"/>
        <v>258.11042465462413</v>
      </c>
      <c r="E98" s="87">
        <f t="shared" si="16"/>
        <v>37.166976911906566</v>
      </c>
      <c r="F98" s="89">
        <f t="shared" si="17"/>
        <v>10.592588419893371</v>
      </c>
    </row>
    <row r="99" spans="1:8" s="83" customFormat="1" x14ac:dyDescent="0.25">
      <c r="A99" s="83">
        <v>11</v>
      </c>
      <c r="B99" s="82">
        <f t="shared" si="13"/>
        <v>583.09520185437214</v>
      </c>
      <c r="C99" s="91">
        <f t="shared" si="14"/>
        <v>91.548132604064577</v>
      </c>
      <c r="D99" s="110">
        <f t="shared" si="15"/>
        <v>301.98919684591021</v>
      </c>
      <c r="E99" s="87">
        <f t="shared" si="16"/>
        <v>43.485362986930674</v>
      </c>
      <c r="F99" s="89">
        <f t="shared" si="17"/>
        <v>12.393328451275242</v>
      </c>
    </row>
    <row r="100" spans="1:8" s="83" customFormat="1" x14ac:dyDescent="0.25">
      <c r="A100" s="83">
        <v>12</v>
      </c>
      <c r="B100" s="82">
        <f t="shared" si="13"/>
        <v>682.22138616961536</v>
      </c>
      <c r="C100" s="91">
        <f t="shared" si="14"/>
        <v>107.11131514675554</v>
      </c>
      <c r="D100" s="110">
        <f t="shared" si="15"/>
        <v>353.32736030971489</v>
      </c>
      <c r="E100" s="87">
        <f t="shared" si="16"/>
        <v>50.877874694708886</v>
      </c>
      <c r="F100" s="89">
        <f t="shared" si="17"/>
        <v>14.500194287992032</v>
      </c>
    </row>
    <row r="101" spans="1:8" s="83" customFormat="1" x14ac:dyDescent="0.25">
      <c r="A101" s="83">
        <v>13</v>
      </c>
      <c r="B101" s="82">
        <f t="shared" si="13"/>
        <v>798.19902181844975</v>
      </c>
      <c r="C101" s="91">
        <f t="shared" si="14"/>
        <v>125.32023872170397</v>
      </c>
      <c r="D101" s="110">
        <f t="shared" si="15"/>
        <v>413.39301156236627</v>
      </c>
      <c r="E101" s="87">
        <f t="shared" si="16"/>
        <v>59.527113392809383</v>
      </c>
      <c r="F101" s="89">
        <f t="shared" si="17"/>
        <v>16.965227316950674</v>
      </c>
    </row>
    <row r="102" spans="1:8" s="83" customFormat="1" x14ac:dyDescent="0.25">
      <c r="A102" s="83">
        <v>14</v>
      </c>
      <c r="B102" s="82">
        <f t="shared" si="13"/>
        <v>933.89285552758622</v>
      </c>
      <c r="C102" s="91">
        <f t="shared" si="14"/>
        <v>146.62467930439365</v>
      </c>
      <c r="D102" s="110">
        <f t="shared" si="15"/>
        <v>483.66982352796862</v>
      </c>
      <c r="E102" s="87">
        <f t="shared" si="16"/>
        <v>69.646722669586993</v>
      </c>
      <c r="F102" s="89">
        <f t="shared" si="17"/>
        <v>19.849315960832293</v>
      </c>
    </row>
    <row r="103" spans="1:8" s="83" customFormat="1" x14ac:dyDescent="0.25">
      <c r="A103" s="83">
        <v>15</v>
      </c>
      <c r="B103" s="82">
        <f t="shared" si="13"/>
        <v>1092.654640967276</v>
      </c>
      <c r="C103" s="91">
        <f t="shared" si="14"/>
        <v>171.55087478614055</v>
      </c>
      <c r="D103" s="110">
        <f t="shared" si="15"/>
        <v>565.89369352772326</v>
      </c>
      <c r="E103" s="87">
        <f t="shared" si="16"/>
        <v>81.486665523416747</v>
      </c>
      <c r="F103" s="89">
        <f t="shared" si="17"/>
        <v>23.223699674173773</v>
      </c>
    </row>
    <row r="105" spans="1:8" x14ac:dyDescent="0.25">
      <c r="A105" s="99" t="s">
        <v>91</v>
      </c>
      <c r="B105" s="94"/>
      <c r="C105" s="94"/>
    </row>
    <row r="106" spans="1:8" s="94" customFormat="1" x14ac:dyDescent="0.25">
      <c r="A106" s="99"/>
      <c r="D106" s="95"/>
      <c r="E106" s="95"/>
      <c r="F106" s="95" t="s">
        <v>31</v>
      </c>
      <c r="G106" s="95" t="s">
        <v>31</v>
      </c>
      <c r="H106" s="95" t="s">
        <v>31</v>
      </c>
    </row>
    <row r="107" spans="1:8" s="94" customFormat="1" x14ac:dyDescent="0.25">
      <c r="A107" s="99"/>
      <c r="D107" s="95" t="s">
        <v>67</v>
      </c>
      <c r="E107" s="95" t="s">
        <v>68</v>
      </c>
      <c r="F107" s="95" t="s">
        <v>32</v>
      </c>
      <c r="G107" s="95" t="s">
        <v>93</v>
      </c>
      <c r="H107" s="95" t="s">
        <v>35</v>
      </c>
    </row>
    <row r="108" spans="1:8" s="94" customFormat="1" x14ac:dyDescent="0.25">
      <c r="A108" s="203" t="s">
        <v>5</v>
      </c>
      <c r="B108" s="203"/>
      <c r="C108" s="203"/>
      <c r="D108" s="106" t="s">
        <v>80</v>
      </c>
      <c r="E108" s="107">
        <v>0.8446313225664035</v>
      </c>
      <c r="F108" s="93">
        <v>240.71992693142499</v>
      </c>
      <c r="G108" s="111">
        <v>56.7</v>
      </c>
      <c r="H108" s="112"/>
    </row>
    <row r="109" spans="1:8" s="94" customFormat="1" x14ac:dyDescent="0.25">
      <c r="A109" s="203" t="s">
        <v>71</v>
      </c>
      <c r="B109" s="203"/>
      <c r="C109" s="203"/>
      <c r="D109" s="106" t="s">
        <v>80</v>
      </c>
      <c r="E109" s="107">
        <v>4.9000000000000004</v>
      </c>
      <c r="F109" s="108">
        <v>1396.5</v>
      </c>
      <c r="G109" s="111">
        <v>197.125</v>
      </c>
      <c r="H109" s="112"/>
    </row>
    <row r="110" spans="1:8" s="94" customFormat="1" x14ac:dyDescent="0.25">
      <c r="A110" s="202" t="s">
        <v>98</v>
      </c>
      <c r="B110" s="202"/>
      <c r="C110" s="202"/>
      <c r="D110" s="92" t="s">
        <v>80</v>
      </c>
      <c r="E110" s="103">
        <f>F40</f>
        <v>4.3258832011535704</v>
      </c>
      <c r="F110" s="108">
        <f>E40</f>
        <v>1.2328767123287676</v>
      </c>
      <c r="G110" s="110">
        <f>D40</f>
        <v>73.119280674750058</v>
      </c>
      <c r="H110" s="112"/>
    </row>
    <row r="111" spans="1:8" s="94" customFormat="1" ht="15.75" x14ac:dyDescent="0.25">
      <c r="A111" s="202" t="s">
        <v>97</v>
      </c>
      <c r="B111" s="202"/>
      <c r="C111" s="202"/>
      <c r="D111" s="92" t="s">
        <v>80</v>
      </c>
      <c r="E111" s="103">
        <f>C64</f>
        <v>5</v>
      </c>
      <c r="F111" s="115">
        <f>D64</f>
        <v>1.425</v>
      </c>
      <c r="G111" s="114" t="s">
        <v>4</v>
      </c>
      <c r="H111" s="112"/>
    </row>
    <row r="112" spans="1:8" s="94" customFormat="1" ht="15.75" x14ac:dyDescent="0.25">
      <c r="A112" s="202" t="s">
        <v>92</v>
      </c>
      <c r="B112" s="202"/>
      <c r="C112" s="202"/>
      <c r="D112" s="92" t="s">
        <v>80</v>
      </c>
      <c r="E112" s="103">
        <f>F16</f>
        <v>6.230854915065442</v>
      </c>
      <c r="F112" s="113">
        <f>E16</f>
        <v>1.7757936507936509</v>
      </c>
      <c r="G112" s="114" t="s">
        <v>4</v>
      </c>
      <c r="H112" s="112"/>
    </row>
    <row r="113" spans="1:12" s="94" customFormat="1" x14ac:dyDescent="0.25">
      <c r="A113" s="202" t="s">
        <v>96</v>
      </c>
      <c r="B113" s="202"/>
      <c r="C113" s="202"/>
      <c r="D113" s="92" t="s">
        <v>80</v>
      </c>
      <c r="E113" s="103">
        <f>E88</f>
        <v>7.7321206213783684</v>
      </c>
      <c r="F113" s="115">
        <f>F88</f>
        <v>2.203654377092835</v>
      </c>
      <c r="G113" s="110">
        <f>D88</f>
        <v>53.696617343806729</v>
      </c>
      <c r="H113" s="112"/>
    </row>
    <row r="114" spans="1:12" s="94" customFormat="1" x14ac:dyDescent="0.25">
      <c r="A114" s="105"/>
      <c r="B114" s="105"/>
      <c r="C114" s="105"/>
      <c r="D114" s="106"/>
      <c r="E114"/>
      <c r="F114"/>
      <c r="G114"/>
    </row>
    <row r="117" spans="1:12" x14ac:dyDescent="0.25">
      <c r="A117" s="99" t="s">
        <v>124</v>
      </c>
    </row>
    <row r="118" spans="1:12" s="94" customFormat="1" x14ac:dyDescent="0.25">
      <c r="A118" s="99"/>
    </row>
    <row r="119" spans="1:12" x14ac:dyDescent="0.25">
      <c r="A119" s="96" t="s">
        <v>6</v>
      </c>
    </row>
    <row r="120" spans="1:12" s="94" customFormat="1" x14ac:dyDescent="0.25">
      <c r="A120" s="96" t="s">
        <v>81</v>
      </c>
      <c r="B120" s="124">
        <f>$B$4</f>
        <v>50</v>
      </c>
      <c r="C120" s="125">
        <f>$C$4</f>
        <v>1000</v>
      </c>
      <c r="D120" s="125">
        <f>$D$4</f>
        <v>8</v>
      </c>
      <c r="E120" s="126">
        <f>$E$4</f>
        <v>5000</v>
      </c>
      <c r="F120" s="139">
        <f>$F$4</f>
        <v>130</v>
      </c>
      <c r="G120" s="81">
        <f>$G$4</f>
        <v>14</v>
      </c>
      <c r="H120" s="81">
        <f>$H$4</f>
        <v>140</v>
      </c>
      <c r="I120" s="127">
        <f>$I$4</f>
        <v>7</v>
      </c>
      <c r="J120" s="127">
        <f>$J$4</f>
        <v>60</v>
      </c>
      <c r="K120" s="128">
        <f>$K$4</f>
        <v>0.5</v>
      </c>
      <c r="L120" s="128">
        <f>$L$4</f>
        <v>0.1</v>
      </c>
    </row>
    <row r="121" spans="1:12" s="94" customFormat="1" x14ac:dyDescent="0.25"/>
    <row r="122" spans="1:12" s="94" customFormat="1" x14ac:dyDescent="0.25">
      <c r="G122" s="95" t="s">
        <v>111</v>
      </c>
    </row>
    <row r="123" spans="1:12" x14ac:dyDescent="0.25">
      <c r="A123" s="95" t="s">
        <v>115</v>
      </c>
      <c r="B123" s="95" t="s">
        <v>116</v>
      </c>
      <c r="C123" s="95"/>
      <c r="D123" s="95" t="s">
        <v>105</v>
      </c>
      <c r="E123" s="95" t="s">
        <v>110</v>
      </c>
      <c r="F123" s="95" t="s">
        <v>108</v>
      </c>
      <c r="G123" s="95" t="s">
        <v>112</v>
      </c>
    </row>
    <row r="124" spans="1:12" x14ac:dyDescent="0.25">
      <c r="A124" s="95" t="s">
        <v>114</v>
      </c>
      <c r="B124" s="95" t="s">
        <v>114</v>
      </c>
      <c r="C124" s="95" t="s">
        <v>104</v>
      </c>
      <c r="D124" s="95" t="s">
        <v>106</v>
      </c>
      <c r="E124" s="95" t="s">
        <v>109</v>
      </c>
      <c r="F124" s="95" t="s">
        <v>57</v>
      </c>
      <c r="G124" s="95" t="s">
        <v>113</v>
      </c>
    </row>
    <row r="125" spans="1:12" x14ac:dyDescent="0.25">
      <c r="A125" s="22">
        <f>avgTrSize</f>
        <v>475</v>
      </c>
      <c r="B125" s="101">
        <v>2</v>
      </c>
      <c r="C125" s="118">
        <v>8</v>
      </c>
      <c r="D125" s="101">
        <v>100</v>
      </c>
      <c r="E125" s="120">
        <v>1E-4</v>
      </c>
      <c r="F125" s="81">
        <f>CEILING(LOG(E125,0.5),1)</f>
        <v>14</v>
      </c>
      <c r="G125" s="100">
        <v>0.75</v>
      </c>
    </row>
    <row r="127" spans="1:12" s="94" customFormat="1" x14ac:dyDescent="0.25">
      <c r="A127" s="99" t="s">
        <v>181</v>
      </c>
      <c r="E127" s="186"/>
      <c r="F127" s="186"/>
      <c r="H127"/>
    </row>
    <row r="128" spans="1:12" s="94" customFormat="1" x14ac:dyDescent="0.25">
      <c r="A128" s="99"/>
      <c r="E128" s="187"/>
      <c r="F128" s="187"/>
      <c r="H128" s="187" t="s">
        <v>187</v>
      </c>
    </row>
    <row r="129" spans="1:9" s="94" customFormat="1" x14ac:dyDescent="0.25">
      <c r="B129" s="187" t="s">
        <v>184</v>
      </c>
      <c r="C129" s="187" t="s">
        <v>107</v>
      </c>
      <c r="D129" s="187" t="s">
        <v>102</v>
      </c>
      <c r="E129" s="95" t="s">
        <v>31</v>
      </c>
      <c r="F129" s="95" t="s">
        <v>186</v>
      </c>
      <c r="G129" s="187" t="s">
        <v>31</v>
      </c>
      <c r="H129" s="187" t="s">
        <v>188</v>
      </c>
      <c r="I129" s="186" t="s">
        <v>30</v>
      </c>
    </row>
    <row r="130" spans="1:9" s="94" customFormat="1" x14ac:dyDescent="0.25">
      <c r="A130" s="122" t="s">
        <v>7</v>
      </c>
      <c r="B130" s="187" t="s">
        <v>113</v>
      </c>
      <c r="C130" s="187" t="s">
        <v>183</v>
      </c>
      <c r="D130" s="187" t="s">
        <v>103</v>
      </c>
      <c r="E130" s="95" t="s">
        <v>185</v>
      </c>
      <c r="F130" s="95" t="s">
        <v>8</v>
      </c>
      <c r="G130" s="187" t="s">
        <v>32</v>
      </c>
      <c r="H130" s="187" t="s">
        <v>32</v>
      </c>
      <c r="I130" s="95" t="s">
        <v>68</v>
      </c>
    </row>
    <row r="131" spans="1:9" s="94" customFormat="1" x14ac:dyDescent="0.25">
      <c r="A131" s="94">
        <v>0</v>
      </c>
      <c r="B131" s="191">
        <f t="shared" ref="B131:B146" si="18">memory15*POWER(1+memoryGrowth,A131)*ongoingResourcePercentage15</f>
        <v>0.8</v>
      </c>
      <c r="C131" s="94">
        <f>FLOOR(LOG(B131*1000*1000*1000, 2),1)</f>
        <v>29</v>
      </c>
      <c r="D131" s="119">
        <f>$B$125*32*(LOG((endGameUsers*1000*1000*1000)*utxosPerUserEndGame, 2)-C131)</f>
        <v>674.63737880070312</v>
      </c>
      <c r="E131" s="110">
        <f t="shared" ref="E131:E146" si="19">(bandwidth15*syncResourcePercentage15*mbToGB*POWER(1+bandwidthGrowth,A131))*(secondsPerYear*recentSyncTime15/365)</f>
        <v>1890</v>
      </c>
      <c r="F131" s="192">
        <f t="shared" ref="F131:F146" si="20">(E131-B131)/(assumevalidBlockTime/365)</f>
        <v>3283.609523809524</v>
      </c>
      <c r="G131" s="109">
        <f t="shared" ref="G131:G146" si="21">(F131*KBperGB/secondsPerYear)*secondsPerBlock/1000</f>
        <v>62.473544973544975</v>
      </c>
      <c r="H131" s="109">
        <f t="shared" ref="H131:H146" si="22">G131*endGameTransactionSize/(endGameTransactionSize+D131)</f>
        <v>25.812429562259563</v>
      </c>
      <c r="I131" s="87">
        <f t="shared" ref="I131:I146" si="23">G131*1000*1000/(secondsPerBlock*(avgTrSize+D131))</f>
        <v>90.569928288630038</v>
      </c>
    </row>
    <row r="132" spans="1:9" s="94" customFormat="1" x14ac:dyDescent="0.25">
      <c r="A132" s="94">
        <v>1</v>
      </c>
      <c r="B132" s="191">
        <f t="shared" si="18"/>
        <v>0.91999999999999993</v>
      </c>
      <c r="C132" s="94">
        <f t="shared" ref="C132:C146" si="24">FLOOR(LOG((memory15*1000*1000*1000)*POWER(1+memoryGrowth,A132)*ongoingResourcePercentage15, 2),1)</f>
        <v>29</v>
      </c>
      <c r="D132" s="119">
        <f t="shared" ref="D132:D146" si="25">$B$125*32*(LOG((endGameUsers*1000*1000*1000)*utxosPerUserEndGame, 2)-C132)</f>
        <v>674.63737880070312</v>
      </c>
      <c r="E132" s="110">
        <f t="shared" si="19"/>
        <v>2362.5</v>
      </c>
      <c r="F132" s="192">
        <f t="shared" si="20"/>
        <v>4104.6509523809527</v>
      </c>
      <c r="G132" s="109">
        <f t="shared" si="21"/>
        <v>78.094576719576722</v>
      </c>
      <c r="H132" s="109">
        <f t="shared" si="22"/>
        <v>32.266630005103188</v>
      </c>
      <c r="I132" s="87">
        <f t="shared" si="23"/>
        <v>113.21624563194102</v>
      </c>
    </row>
    <row r="133" spans="1:9" s="94" customFormat="1" x14ac:dyDescent="0.25">
      <c r="A133" s="94">
        <v>2</v>
      </c>
      <c r="B133" s="191">
        <f t="shared" si="18"/>
        <v>1.0579999999999998</v>
      </c>
      <c r="C133" s="94">
        <f t="shared" si="24"/>
        <v>29</v>
      </c>
      <c r="D133" s="119">
        <f t="shared" si="25"/>
        <v>674.63737880070312</v>
      </c>
      <c r="E133" s="110">
        <f t="shared" si="19"/>
        <v>2953.125</v>
      </c>
      <c r="F133" s="192">
        <f t="shared" si="20"/>
        <v>5130.9735952380952</v>
      </c>
      <c r="G133" s="109">
        <f t="shared" si="21"/>
        <v>97.621263227513225</v>
      </c>
      <c r="H133" s="109">
        <f t="shared" si="22"/>
        <v>40.33454451649952</v>
      </c>
      <c r="I133" s="87">
        <f t="shared" si="23"/>
        <v>141.52471760175271</v>
      </c>
    </row>
    <row r="134" spans="1:9" s="94" customFormat="1" x14ac:dyDescent="0.25">
      <c r="A134" s="94">
        <v>3</v>
      </c>
      <c r="B134" s="191">
        <f t="shared" si="18"/>
        <v>1.2166999999999997</v>
      </c>
      <c r="C134" s="94">
        <f t="shared" si="24"/>
        <v>30</v>
      </c>
      <c r="D134" s="119">
        <f t="shared" si="25"/>
        <v>610.63737880070312</v>
      </c>
      <c r="E134" s="110">
        <f t="shared" si="19"/>
        <v>3691.40625</v>
      </c>
      <c r="F134" s="192">
        <f t="shared" si="20"/>
        <v>6413.9008845238104</v>
      </c>
      <c r="G134" s="109">
        <f t="shared" si="21"/>
        <v>122.03007771164023</v>
      </c>
      <c r="H134" s="109">
        <f t="shared" si="22"/>
        <v>53.391941033811761</v>
      </c>
      <c r="I134" s="87">
        <f t="shared" si="23"/>
        <v>187.34014397828693</v>
      </c>
    </row>
    <row r="135" spans="1:9" s="94" customFormat="1" x14ac:dyDescent="0.25">
      <c r="A135" s="94">
        <v>4</v>
      </c>
      <c r="B135" s="191">
        <f t="shared" si="18"/>
        <v>1.3992049999999996</v>
      </c>
      <c r="C135" s="94">
        <f t="shared" si="24"/>
        <v>30</v>
      </c>
      <c r="D135" s="119">
        <f t="shared" si="25"/>
        <v>610.63737880070312</v>
      </c>
      <c r="E135" s="110">
        <f t="shared" si="19"/>
        <v>4614.2578125</v>
      </c>
      <c r="F135" s="192">
        <f t="shared" si="20"/>
        <v>8017.5875797023818</v>
      </c>
      <c r="G135" s="109">
        <f t="shared" si="21"/>
        <v>152.54162061838625</v>
      </c>
      <c r="H135" s="109">
        <f t="shared" si="22"/>
        <v>66.741686688953706</v>
      </c>
      <c r="I135" s="87">
        <f t="shared" si="23"/>
        <v>234.18135680334629</v>
      </c>
    </row>
    <row r="136" spans="1:9" s="94" customFormat="1" x14ac:dyDescent="0.25">
      <c r="A136" s="94">
        <v>5</v>
      </c>
      <c r="B136" s="191">
        <f t="shared" si="18"/>
        <v>1.6090857499999995</v>
      </c>
      <c r="C136" s="94">
        <f t="shared" si="24"/>
        <v>30</v>
      </c>
      <c r="D136" s="119">
        <f t="shared" si="25"/>
        <v>610.63737880070312</v>
      </c>
      <c r="E136" s="110">
        <f t="shared" si="19"/>
        <v>5767.822265625</v>
      </c>
      <c r="F136" s="192">
        <f t="shared" si="20"/>
        <v>10022.227669782738</v>
      </c>
      <c r="G136" s="109">
        <f t="shared" si="21"/>
        <v>190.68165277364417</v>
      </c>
      <c r="H136" s="109">
        <f t="shared" si="22"/>
        <v>83.42913281738447</v>
      </c>
      <c r="I136" s="87">
        <f t="shared" si="23"/>
        <v>292.73379935924368</v>
      </c>
    </row>
    <row r="137" spans="1:9" s="94" customFormat="1" x14ac:dyDescent="0.25">
      <c r="A137" s="94">
        <v>6</v>
      </c>
      <c r="B137" s="191">
        <f t="shared" si="18"/>
        <v>1.8504486124999993</v>
      </c>
      <c r="C137" s="94">
        <f t="shared" si="24"/>
        <v>30</v>
      </c>
      <c r="D137" s="119">
        <f t="shared" si="25"/>
        <v>610.63737880070312</v>
      </c>
      <c r="E137" s="110">
        <f t="shared" si="19"/>
        <v>7209.77783203125</v>
      </c>
      <c r="F137" s="192">
        <f t="shared" si="20"/>
        <v>12528.064261656398</v>
      </c>
      <c r="G137" s="109">
        <f t="shared" si="21"/>
        <v>238.35738701781582</v>
      </c>
      <c r="H137" s="109">
        <f t="shared" si="22"/>
        <v>104.28874414635177</v>
      </c>
      <c r="I137" s="87">
        <f t="shared" si="23"/>
        <v>365.92541805737466</v>
      </c>
    </row>
    <row r="138" spans="1:9" s="94" customFormat="1" x14ac:dyDescent="0.25">
      <c r="A138" s="94">
        <v>7</v>
      </c>
      <c r="B138" s="191">
        <f t="shared" si="18"/>
        <v>2.1280159043749989</v>
      </c>
      <c r="C138" s="94">
        <f t="shared" si="24"/>
        <v>30</v>
      </c>
      <c r="D138" s="119">
        <f t="shared" si="25"/>
        <v>610.63737880070312</v>
      </c>
      <c r="E138" s="110">
        <f t="shared" si="19"/>
        <v>9012.2222900390625</v>
      </c>
      <c r="F138" s="192">
        <f t="shared" si="20"/>
        <v>15660.401952662673</v>
      </c>
      <c r="G138" s="109">
        <f t="shared" si="21"/>
        <v>297.95285298064442</v>
      </c>
      <c r="H138" s="109">
        <f t="shared" si="22"/>
        <v>130.3636075262541</v>
      </c>
      <c r="I138" s="87">
        <f t="shared" si="23"/>
        <v>457.41616675878635</v>
      </c>
    </row>
    <row r="139" spans="1:9" s="94" customFormat="1" x14ac:dyDescent="0.25">
      <c r="A139" s="94">
        <v>8</v>
      </c>
      <c r="B139" s="191">
        <f t="shared" si="18"/>
        <v>2.4472182900312482</v>
      </c>
      <c r="C139" s="94">
        <f t="shared" si="24"/>
        <v>31</v>
      </c>
      <c r="D139" s="119">
        <f t="shared" si="25"/>
        <v>546.63737880070312</v>
      </c>
      <c r="E139" s="110">
        <f t="shared" si="19"/>
        <v>11265.277862548828</v>
      </c>
      <c r="F139" s="192">
        <f t="shared" si="20"/>
        <v>19575.872310259339</v>
      </c>
      <c r="G139" s="109">
        <f t="shared" si="21"/>
        <v>372.44810331543647</v>
      </c>
      <c r="H139" s="109">
        <f t="shared" si="22"/>
        <v>173.16599093360281</v>
      </c>
      <c r="I139" s="87">
        <f t="shared" si="23"/>
        <v>607.5999681880802</v>
      </c>
    </row>
    <row r="140" spans="1:9" s="94" customFormat="1" x14ac:dyDescent="0.25">
      <c r="A140" s="94">
        <v>9</v>
      </c>
      <c r="B140" s="191">
        <f t="shared" si="18"/>
        <v>2.8143010335359353</v>
      </c>
      <c r="C140" s="94">
        <f t="shared" si="24"/>
        <v>31</v>
      </c>
      <c r="D140" s="119">
        <f t="shared" si="25"/>
        <v>546.63737880070312</v>
      </c>
      <c r="E140" s="110">
        <f t="shared" si="19"/>
        <v>14081.597328186035</v>
      </c>
      <c r="F140" s="192">
        <f t="shared" si="20"/>
        <v>24470.265737669823</v>
      </c>
      <c r="G140" s="109">
        <f t="shared" si="21"/>
        <v>465.56822179737105</v>
      </c>
      <c r="H140" s="109">
        <f t="shared" si="22"/>
        <v>216.46125126446776</v>
      </c>
      <c r="I140" s="87">
        <f t="shared" si="23"/>
        <v>759.51316233146588</v>
      </c>
    </row>
    <row r="141" spans="1:9" s="94" customFormat="1" x14ac:dyDescent="0.25">
      <c r="A141" s="94">
        <v>10</v>
      </c>
      <c r="B141" s="191">
        <f t="shared" si="18"/>
        <v>3.2364461885663256</v>
      </c>
      <c r="C141" s="94">
        <f t="shared" si="24"/>
        <v>31</v>
      </c>
      <c r="D141" s="119">
        <f t="shared" si="25"/>
        <v>546.63737880070312</v>
      </c>
      <c r="E141" s="110">
        <f t="shared" si="19"/>
        <v>17601.996660232544</v>
      </c>
      <c r="F141" s="192">
        <f t="shared" si="20"/>
        <v>30588.321324409771</v>
      </c>
      <c r="G141" s="109">
        <f t="shared" si="21"/>
        <v>581.96958379775049</v>
      </c>
      <c r="H141" s="109">
        <f t="shared" si="22"/>
        <v>270.58089106766857</v>
      </c>
      <c r="I141" s="87">
        <f t="shared" si="23"/>
        <v>949.40663532515282</v>
      </c>
    </row>
    <row r="142" spans="1:9" s="94" customFormat="1" x14ac:dyDescent="0.25">
      <c r="A142" s="94">
        <v>11</v>
      </c>
      <c r="B142" s="191">
        <f t="shared" si="18"/>
        <v>3.7219131168512742</v>
      </c>
      <c r="C142" s="94">
        <f t="shared" si="24"/>
        <v>31</v>
      </c>
      <c r="D142" s="119">
        <f t="shared" si="25"/>
        <v>546.63737880070312</v>
      </c>
      <c r="E142" s="110">
        <f t="shared" si="19"/>
        <v>22002.49582529068</v>
      </c>
      <c r="F142" s="192">
        <f t="shared" si="20"/>
        <v>38235.964180683091</v>
      </c>
      <c r="G142" s="109">
        <f t="shared" si="21"/>
        <v>727.4726822808808</v>
      </c>
      <c r="H142" s="109">
        <f t="shared" si="22"/>
        <v>338.23108986973233</v>
      </c>
      <c r="I142" s="87">
        <f t="shared" si="23"/>
        <v>1186.7757539288853</v>
      </c>
    </row>
    <row r="143" spans="1:9" s="94" customFormat="1" x14ac:dyDescent="0.25">
      <c r="A143" s="94">
        <v>12</v>
      </c>
      <c r="B143" s="191">
        <f t="shared" si="18"/>
        <v>4.280200084378964</v>
      </c>
      <c r="C143" s="94">
        <f t="shared" si="24"/>
        <v>31</v>
      </c>
      <c r="D143" s="119">
        <f t="shared" si="25"/>
        <v>546.63737880070312</v>
      </c>
      <c r="E143" s="110">
        <f t="shared" si="19"/>
        <v>27503.11978161335</v>
      </c>
      <c r="F143" s="192">
        <f t="shared" si="20"/>
        <v>47795.602129800354</v>
      </c>
      <c r="G143" s="109">
        <f t="shared" si="21"/>
        <v>909.35316076484696</v>
      </c>
      <c r="H143" s="109">
        <f t="shared" si="22"/>
        <v>422.79458477758374</v>
      </c>
      <c r="I143" s="87">
        <f t="shared" si="23"/>
        <v>1483.4897711494166</v>
      </c>
    </row>
    <row r="144" spans="1:9" s="94" customFormat="1" x14ac:dyDescent="0.25">
      <c r="A144" s="94">
        <v>13</v>
      </c>
      <c r="B144" s="191">
        <f t="shared" si="18"/>
        <v>4.9222300970358095</v>
      </c>
      <c r="C144" s="94">
        <f t="shared" si="24"/>
        <v>32</v>
      </c>
      <c r="D144" s="119">
        <f t="shared" si="25"/>
        <v>482.63737880070312</v>
      </c>
      <c r="E144" s="110">
        <f t="shared" si="19"/>
        <v>34378.899727016687</v>
      </c>
      <c r="F144" s="192">
        <f t="shared" si="20"/>
        <v>59745.246601788924</v>
      </c>
      <c r="G144" s="109">
        <f t="shared" si="21"/>
        <v>1136.7056050568669</v>
      </c>
      <c r="H144" s="109">
        <f t="shared" si="22"/>
        <v>563.82005794113786</v>
      </c>
      <c r="I144" s="87">
        <f t="shared" si="23"/>
        <v>1978.3159927759227</v>
      </c>
    </row>
    <row r="145" spans="1:9" s="94" customFormat="1" x14ac:dyDescent="0.25">
      <c r="A145" s="94">
        <v>14</v>
      </c>
      <c r="B145" s="191">
        <f t="shared" si="18"/>
        <v>5.6605646115911803</v>
      </c>
      <c r="C145" s="94">
        <f t="shared" si="24"/>
        <v>32</v>
      </c>
      <c r="D145" s="119">
        <f t="shared" si="25"/>
        <v>482.63737880070312</v>
      </c>
      <c r="E145" s="110">
        <f t="shared" si="19"/>
        <v>42973.624658770859</v>
      </c>
      <c r="F145" s="192">
        <f t="shared" si="20"/>
        <v>74682.413782705393</v>
      </c>
      <c r="G145" s="109">
        <f t="shared" si="21"/>
        <v>1420.898283537013</v>
      </c>
      <c r="H145" s="109">
        <f t="shared" si="22"/>
        <v>704.78314612711279</v>
      </c>
      <c r="I145" s="87">
        <f t="shared" si="23"/>
        <v>2472.9233197442554</v>
      </c>
    </row>
    <row r="146" spans="1:9" s="94" customFormat="1" x14ac:dyDescent="0.25">
      <c r="A146" s="94">
        <v>15</v>
      </c>
      <c r="B146" s="191">
        <f t="shared" si="18"/>
        <v>6.5096493033298559</v>
      </c>
      <c r="C146" s="94">
        <f t="shared" si="24"/>
        <v>32</v>
      </c>
      <c r="D146" s="119">
        <f t="shared" si="25"/>
        <v>482.63737880070312</v>
      </c>
      <c r="E146" s="110">
        <f t="shared" si="19"/>
        <v>53717.030823463574</v>
      </c>
      <c r="F146" s="192">
        <f t="shared" si="20"/>
        <v>93354.001088421384</v>
      </c>
      <c r="G146" s="109">
        <f t="shared" si="21"/>
        <v>1776.1415732195851</v>
      </c>
      <c r="H146" s="109">
        <f t="shared" si="22"/>
        <v>880.98821741468498</v>
      </c>
      <c r="I146" s="87">
        <f t="shared" si="23"/>
        <v>3091.1867277708247</v>
      </c>
    </row>
    <row r="147" spans="1:9" s="94" customFormat="1" x14ac:dyDescent="0.25"/>
    <row r="148" spans="1:9" s="94" customFormat="1" x14ac:dyDescent="0.25">
      <c r="A148" s="99" t="s">
        <v>182</v>
      </c>
      <c r="E148" s="187"/>
      <c r="H148" s="187"/>
    </row>
    <row r="149" spans="1:9" s="94" customFormat="1" x14ac:dyDescent="0.25">
      <c r="A149" s="99"/>
      <c r="F149" s="187"/>
      <c r="H149" s="187" t="s">
        <v>187</v>
      </c>
    </row>
    <row r="150" spans="1:9" s="94" customFormat="1" x14ac:dyDescent="0.25">
      <c r="B150" s="187" t="s">
        <v>184</v>
      </c>
      <c r="C150" s="187" t="s">
        <v>107</v>
      </c>
      <c r="D150" s="187" t="s">
        <v>102</v>
      </c>
      <c r="E150" s="187" t="s">
        <v>31</v>
      </c>
      <c r="F150" s="187" t="s">
        <v>31</v>
      </c>
      <c r="G150" s="187" t="s">
        <v>30</v>
      </c>
      <c r="H150" s="187" t="s">
        <v>188</v>
      </c>
    </row>
    <row r="151" spans="1:9" s="94" customFormat="1" x14ac:dyDescent="0.25">
      <c r="A151" s="188" t="s">
        <v>7</v>
      </c>
      <c r="B151" s="187" t="s">
        <v>113</v>
      </c>
      <c r="C151" s="187" t="s">
        <v>183</v>
      </c>
      <c r="D151" s="187" t="s">
        <v>103</v>
      </c>
      <c r="E151" s="187" t="s">
        <v>28</v>
      </c>
      <c r="F151" s="187" t="s">
        <v>101</v>
      </c>
      <c r="G151" s="187" t="s">
        <v>17</v>
      </c>
      <c r="H151" s="187" t="s">
        <v>32</v>
      </c>
    </row>
    <row r="152" spans="1:9" s="94" customFormat="1" x14ac:dyDescent="0.25">
      <c r="A152" s="94">
        <v>0</v>
      </c>
      <c r="B152" s="191">
        <f t="shared" ref="B152:B167" si="26">memory15*POWER(1+memoryGrowth,A152)*ongoingResourcePercentage15</f>
        <v>0.8</v>
      </c>
      <c r="C152" s="94">
        <f>FLOOR(LOG(B152*1000*1000*1000, 2),1)</f>
        <v>29</v>
      </c>
      <c r="D152" s="119">
        <f>$B$125*32*(LOG((endGameUsers*1000*1000*1000)*utxosPerUserEndGame, 2)-C152)</f>
        <v>674.63737880070312</v>
      </c>
      <c r="E152" s="193">
        <f t="shared" ref="E152:E167" si="27">(throughput15*syncResourcePercentage15*POWER(1+cpuGrowth,A152))*(secondsPerYear*recentSyncTime15/365)/1000/1000/1000</f>
        <v>1.512</v>
      </c>
      <c r="F152" s="189">
        <f t="shared" ref="F152:F167" si="28">E152*1000*1000*1000/(secondsPerYear*assumevalidBlockTime/365)</f>
        <v>83.333333333333329</v>
      </c>
      <c r="G152" s="109">
        <f t="shared" ref="G152:G167" si="29">F152*secondsPerBlock*(endGameTransactionSize+D152)/1000/1000</f>
        <v>57.481868940035156</v>
      </c>
      <c r="H152" s="109">
        <f t="shared" ref="H152:H167" si="30">G152*endGameTransactionSize/(endGameTransactionSize+D152)</f>
        <v>23.75</v>
      </c>
    </row>
    <row r="153" spans="1:9" s="94" customFormat="1" x14ac:dyDescent="0.25">
      <c r="A153" s="94">
        <v>1</v>
      </c>
      <c r="B153" s="191">
        <f t="shared" si="26"/>
        <v>0.91999999999999993</v>
      </c>
      <c r="C153" s="94">
        <f t="shared" ref="C153:C167" si="31">FLOOR(LOG((memory15*1000*1000*1000)*POWER(1+memoryGrowth,A153)*ongoingResourcePercentage15, 2),1)</f>
        <v>29</v>
      </c>
      <c r="D153" s="119">
        <f t="shared" ref="D153:D167" si="32">$B$125*32*(LOG((endGameUsers*1000*1000*1000)*utxosPerUserEndGame, 2)-C153)</f>
        <v>674.63737880070312</v>
      </c>
      <c r="E153" s="193">
        <f t="shared" si="27"/>
        <v>1.7690399999999999</v>
      </c>
      <c r="F153" s="189">
        <f t="shared" si="28"/>
        <v>97.5</v>
      </c>
      <c r="G153" s="109">
        <f t="shared" si="29"/>
        <v>67.25378665984114</v>
      </c>
      <c r="H153" s="109">
        <f t="shared" si="30"/>
        <v>27.787500000000005</v>
      </c>
    </row>
    <row r="154" spans="1:9" s="94" customFormat="1" x14ac:dyDescent="0.25">
      <c r="A154" s="94">
        <v>2</v>
      </c>
      <c r="B154" s="191">
        <f t="shared" si="26"/>
        <v>1.0579999999999998</v>
      </c>
      <c r="C154" s="94">
        <f t="shared" si="31"/>
        <v>29</v>
      </c>
      <c r="D154" s="119">
        <f t="shared" si="32"/>
        <v>674.63737880070312</v>
      </c>
      <c r="E154" s="193">
        <f t="shared" si="27"/>
        <v>2.0697767999999996</v>
      </c>
      <c r="F154" s="189">
        <f t="shared" si="28"/>
        <v>114.07499999999997</v>
      </c>
      <c r="G154" s="109">
        <f t="shared" si="29"/>
        <v>78.686930392014091</v>
      </c>
      <c r="H154" s="109">
        <f t="shared" si="30"/>
        <v>32.51137499999998</v>
      </c>
    </row>
    <row r="155" spans="1:9" s="94" customFormat="1" x14ac:dyDescent="0.25">
      <c r="A155" s="94">
        <v>3</v>
      </c>
      <c r="B155" s="191">
        <f t="shared" si="26"/>
        <v>1.2166999999999997</v>
      </c>
      <c r="C155" s="94">
        <f t="shared" si="31"/>
        <v>30</v>
      </c>
      <c r="D155" s="119">
        <f t="shared" si="32"/>
        <v>610.63737880070312</v>
      </c>
      <c r="E155" s="193">
        <f t="shared" si="27"/>
        <v>2.4216388559999995</v>
      </c>
      <c r="F155" s="189">
        <f t="shared" si="28"/>
        <v>133.46774999999997</v>
      </c>
      <c r="G155" s="109">
        <f t="shared" si="29"/>
        <v>86.938546958656502</v>
      </c>
      <c r="H155" s="109">
        <f t="shared" si="30"/>
        <v>38.038308749999992</v>
      </c>
    </row>
    <row r="156" spans="1:9" s="94" customFormat="1" x14ac:dyDescent="0.25">
      <c r="A156" s="94">
        <v>4</v>
      </c>
      <c r="B156" s="191">
        <f t="shared" si="26"/>
        <v>1.3992049999999996</v>
      </c>
      <c r="C156" s="94">
        <f t="shared" si="31"/>
        <v>30</v>
      </c>
      <c r="D156" s="119">
        <f t="shared" si="32"/>
        <v>610.63737880070312</v>
      </c>
      <c r="E156" s="193">
        <f t="shared" si="27"/>
        <v>2.8333174615199992</v>
      </c>
      <c r="F156" s="189">
        <f t="shared" si="28"/>
        <v>156.15726749999993</v>
      </c>
      <c r="G156" s="109">
        <f t="shared" si="29"/>
        <v>101.7180999416281</v>
      </c>
      <c r="H156" s="109">
        <f t="shared" si="30"/>
        <v>44.504821237499982</v>
      </c>
    </row>
    <row r="157" spans="1:9" s="94" customFormat="1" x14ac:dyDescent="0.25">
      <c r="A157" s="94">
        <v>5</v>
      </c>
      <c r="B157" s="191">
        <f t="shared" si="26"/>
        <v>1.6090857499999995</v>
      </c>
      <c r="C157" s="94">
        <f t="shared" si="31"/>
        <v>30</v>
      </c>
      <c r="D157" s="119">
        <f t="shared" si="32"/>
        <v>610.63737880070312</v>
      </c>
      <c r="E157" s="193">
        <f t="shared" si="27"/>
        <v>3.3149814299783986</v>
      </c>
      <c r="F157" s="189">
        <f t="shared" si="28"/>
        <v>182.70400297499992</v>
      </c>
      <c r="G157" s="109">
        <f t="shared" si="29"/>
        <v>119.01017693170486</v>
      </c>
      <c r="H157" s="109">
        <f t="shared" si="30"/>
        <v>52.070640847874976</v>
      </c>
    </row>
    <row r="158" spans="1:9" s="94" customFormat="1" x14ac:dyDescent="0.25">
      <c r="A158" s="94">
        <v>6</v>
      </c>
      <c r="B158" s="191">
        <f t="shared" si="26"/>
        <v>1.8504486124999993</v>
      </c>
      <c r="C158" s="94">
        <f t="shared" si="31"/>
        <v>30</v>
      </c>
      <c r="D158" s="119">
        <f t="shared" si="32"/>
        <v>610.63737880070312</v>
      </c>
      <c r="E158" s="193">
        <f t="shared" si="27"/>
        <v>3.8785282730747266</v>
      </c>
      <c r="F158" s="189">
        <f t="shared" si="28"/>
        <v>213.76368348074993</v>
      </c>
      <c r="G158" s="109">
        <f t="shared" si="29"/>
        <v>139.24190701009474</v>
      </c>
      <c r="H158" s="109">
        <f t="shared" si="30"/>
        <v>60.922649792013736</v>
      </c>
    </row>
    <row r="159" spans="1:9" s="94" customFormat="1" x14ac:dyDescent="0.25">
      <c r="A159" s="94">
        <v>7</v>
      </c>
      <c r="B159" s="191">
        <f t="shared" si="26"/>
        <v>2.1280159043749989</v>
      </c>
      <c r="C159" s="94">
        <f t="shared" si="31"/>
        <v>30</v>
      </c>
      <c r="D159" s="119">
        <f t="shared" si="32"/>
        <v>610.63737880070312</v>
      </c>
      <c r="E159" s="193">
        <f t="shared" si="27"/>
        <v>4.5378780794974292</v>
      </c>
      <c r="F159" s="189">
        <f t="shared" si="28"/>
        <v>250.1035096724774</v>
      </c>
      <c r="G159" s="109">
        <f t="shared" si="29"/>
        <v>162.91303120181081</v>
      </c>
      <c r="H159" s="109">
        <f t="shared" si="30"/>
        <v>71.279500256656064</v>
      </c>
    </row>
    <row r="160" spans="1:9" s="94" customFormat="1" x14ac:dyDescent="0.25">
      <c r="A160" s="94">
        <v>8</v>
      </c>
      <c r="B160" s="191">
        <f t="shared" si="26"/>
        <v>2.4472182900312482</v>
      </c>
      <c r="C160" s="94">
        <f t="shared" si="31"/>
        <v>31</v>
      </c>
      <c r="D160" s="119">
        <f t="shared" si="32"/>
        <v>546.63737880070312</v>
      </c>
      <c r="E160" s="193">
        <f t="shared" si="27"/>
        <v>5.3093173530119921</v>
      </c>
      <c r="F160" s="189">
        <f t="shared" si="28"/>
        <v>292.62110631679849</v>
      </c>
      <c r="G160" s="109">
        <f t="shared" si="29"/>
        <v>179.37159602355351</v>
      </c>
      <c r="H160" s="109">
        <f t="shared" si="30"/>
        <v>83.397015300287549</v>
      </c>
    </row>
    <row r="161" spans="1:8" s="94" customFormat="1" x14ac:dyDescent="0.25">
      <c r="A161" s="94">
        <v>9</v>
      </c>
      <c r="B161" s="191">
        <f t="shared" si="26"/>
        <v>2.8143010335359353</v>
      </c>
      <c r="C161" s="94">
        <f t="shared" si="31"/>
        <v>31</v>
      </c>
      <c r="D161" s="119">
        <f t="shared" si="32"/>
        <v>546.63737880070312</v>
      </c>
      <c r="E161" s="193">
        <f t="shared" si="27"/>
        <v>6.2119013030240291</v>
      </c>
      <c r="F161" s="189">
        <f t="shared" si="28"/>
        <v>342.36669439065417</v>
      </c>
      <c r="G161" s="109">
        <f t="shared" si="29"/>
        <v>209.86476734755757</v>
      </c>
      <c r="H161" s="109">
        <f t="shared" si="30"/>
        <v>97.574507901336432</v>
      </c>
    </row>
    <row r="162" spans="1:8" s="94" customFormat="1" x14ac:dyDescent="0.25">
      <c r="A162" s="94">
        <v>10</v>
      </c>
      <c r="B162" s="191">
        <f t="shared" si="26"/>
        <v>3.2364461885663256</v>
      </c>
      <c r="C162" s="94">
        <f t="shared" si="31"/>
        <v>31</v>
      </c>
      <c r="D162" s="119">
        <f t="shared" si="32"/>
        <v>546.63737880070312</v>
      </c>
      <c r="E162" s="193">
        <f t="shared" si="27"/>
        <v>7.2679245245381141</v>
      </c>
      <c r="F162" s="189">
        <f t="shared" si="28"/>
        <v>400.5690324370654</v>
      </c>
      <c r="G162" s="109">
        <f t="shared" si="29"/>
        <v>245.54177779664238</v>
      </c>
      <c r="H162" s="109">
        <f t="shared" si="30"/>
        <v>114.16217424456363</v>
      </c>
    </row>
    <row r="163" spans="1:8" s="94" customFormat="1" x14ac:dyDescent="0.25">
      <c r="A163" s="94">
        <v>11</v>
      </c>
      <c r="B163" s="191">
        <f t="shared" si="26"/>
        <v>3.7219131168512742</v>
      </c>
      <c r="C163" s="94">
        <f t="shared" si="31"/>
        <v>31</v>
      </c>
      <c r="D163" s="119">
        <f t="shared" si="32"/>
        <v>546.63737880070312</v>
      </c>
      <c r="E163" s="193">
        <f t="shared" si="27"/>
        <v>8.503471693709594</v>
      </c>
      <c r="F163" s="189">
        <f t="shared" si="28"/>
        <v>468.66576795136655</v>
      </c>
      <c r="G163" s="109">
        <f t="shared" si="29"/>
        <v>287.28388002207157</v>
      </c>
      <c r="H163" s="109">
        <f t="shared" si="30"/>
        <v>133.56974386613945</v>
      </c>
    </row>
    <row r="164" spans="1:8" s="94" customFormat="1" x14ac:dyDescent="0.25">
      <c r="A164" s="94">
        <v>12</v>
      </c>
      <c r="B164" s="191">
        <f t="shared" si="26"/>
        <v>4.280200084378964</v>
      </c>
      <c r="C164" s="94">
        <f t="shared" si="31"/>
        <v>31</v>
      </c>
      <c r="D164" s="119">
        <f t="shared" si="32"/>
        <v>546.63737880070312</v>
      </c>
      <c r="E164" s="193">
        <f t="shared" si="27"/>
        <v>9.9490618816402225</v>
      </c>
      <c r="F164" s="189">
        <f t="shared" si="28"/>
        <v>548.33894850309866</v>
      </c>
      <c r="G164" s="109">
        <f t="shared" si="29"/>
        <v>336.12213962582365</v>
      </c>
      <c r="H164" s="109">
        <f t="shared" si="30"/>
        <v>156.27660032338309</v>
      </c>
    </row>
    <row r="165" spans="1:8" s="94" customFormat="1" x14ac:dyDescent="0.25">
      <c r="A165" s="94">
        <v>13</v>
      </c>
      <c r="B165" s="191">
        <f t="shared" si="26"/>
        <v>4.9222300970358095</v>
      </c>
      <c r="C165" s="94">
        <f t="shared" si="31"/>
        <v>32</v>
      </c>
      <c r="D165" s="119">
        <f t="shared" si="32"/>
        <v>482.63737880070312</v>
      </c>
      <c r="E165" s="193">
        <f t="shared" si="27"/>
        <v>11.640402401519063</v>
      </c>
      <c r="F165" s="189">
        <f t="shared" si="28"/>
        <v>641.55656974862552</v>
      </c>
      <c r="G165" s="109">
        <f t="shared" si="29"/>
        <v>368.62713108386652</v>
      </c>
      <c r="H165" s="109">
        <f t="shared" si="30"/>
        <v>182.84362237835828</v>
      </c>
    </row>
    <row r="166" spans="1:8" s="94" customFormat="1" x14ac:dyDescent="0.25">
      <c r="A166" s="94">
        <v>14</v>
      </c>
      <c r="B166" s="191">
        <f t="shared" si="26"/>
        <v>5.6605646115911803</v>
      </c>
      <c r="C166" s="94">
        <f t="shared" si="31"/>
        <v>32</v>
      </c>
      <c r="D166" s="119">
        <f t="shared" si="32"/>
        <v>482.63737880070312</v>
      </c>
      <c r="E166" s="193">
        <f t="shared" si="27"/>
        <v>13.619270809777303</v>
      </c>
      <c r="F166" s="189">
        <f t="shared" si="28"/>
        <v>750.62118660589181</v>
      </c>
      <c r="G166" s="109">
        <f t="shared" si="29"/>
        <v>431.29374336812384</v>
      </c>
      <c r="H166" s="109">
        <f t="shared" si="30"/>
        <v>213.92703818267918</v>
      </c>
    </row>
    <row r="167" spans="1:8" s="94" customFormat="1" x14ac:dyDescent="0.25">
      <c r="A167" s="94">
        <v>15</v>
      </c>
      <c r="B167" s="191">
        <f t="shared" si="26"/>
        <v>6.5096493033298559</v>
      </c>
      <c r="C167" s="94">
        <f t="shared" si="31"/>
        <v>32</v>
      </c>
      <c r="D167" s="119">
        <f t="shared" si="32"/>
        <v>482.63737880070312</v>
      </c>
      <c r="E167" s="193">
        <f t="shared" si="27"/>
        <v>15.934546847439442</v>
      </c>
      <c r="F167" s="189">
        <f t="shared" si="28"/>
        <v>878.22678832889335</v>
      </c>
      <c r="G167" s="109">
        <f t="shared" si="29"/>
        <v>504.61367974070481</v>
      </c>
      <c r="H167" s="109">
        <f t="shared" si="30"/>
        <v>250.29463467373461</v>
      </c>
    </row>
    <row r="168" spans="1:8" s="94" customFormat="1" x14ac:dyDescent="0.25"/>
    <row r="169" spans="1:8" s="94" customFormat="1" x14ac:dyDescent="0.25">
      <c r="A169" s="99" t="s">
        <v>123</v>
      </c>
    </row>
    <row r="170" spans="1:8" x14ac:dyDescent="0.25">
      <c r="G170" s="187" t="s">
        <v>187</v>
      </c>
      <c r="H170" s="94"/>
    </row>
    <row r="171" spans="1:8" x14ac:dyDescent="0.25">
      <c r="B171" s="187" t="s">
        <v>184</v>
      </c>
      <c r="C171" s="95" t="s">
        <v>107</v>
      </c>
      <c r="D171" s="95" t="s">
        <v>102</v>
      </c>
      <c r="E171" s="190" t="s">
        <v>193</v>
      </c>
      <c r="F171" s="187" t="s">
        <v>140</v>
      </c>
      <c r="G171" s="187" t="s">
        <v>188</v>
      </c>
      <c r="H171" s="187" t="s">
        <v>30</v>
      </c>
    </row>
    <row r="172" spans="1:8" x14ac:dyDescent="0.25">
      <c r="A172" s="117" t="s">
        <v>7</v>
      </c>
      <c r="B172" s="187" t="s">
        <v>113</v>
      </c>
      <c r="C172" s="95" t="s">
        <v>183</v>
      </c>
      <c r="D172" s="95" t="s">
        <v>103</v>
      </c>
      <c r="E172" s="190" t="s">
        <v>194</v>
      </c>
      <c r="F172" s="187" t="s">
        <v>32</v>
      </c>
      <c r="G172" s="187" t="s">
        <v>32</v>
      </c>
      <c r="H172" s="187" t="s">
        <v>55</v>
      </c>
    </row>
    <row r="173" spans="1:8" x14ac:dyDescent="0.25">
      <c r="A173" s="94">
        <v>0</v>
      </c>
      <c r="B173" s="191">
        <f t="shared" ref="B173:B188" si="33">memory15*POWER(1+memoryGrowth,A173)*ongoingResourcePercentage15</f>
        <v>0.8</v>
      </c>
      <c r="C173">
        <f t="shared" ref="C173:C188" si="34">FLOOR(LOG((memory15*1000*1000*1000)*POWER(1+memoryGrowth,A173)*ongoingResourcePercentage15, 2),1)</f>
        <v>29</v>
      </c>
      <c r="D173" s="119">
        <f>$B$125*32*(LOG((endGameUsers*1000*1000*1000)*utxosPerUserEndGame, 2)-C173)</f>
        <v>674.63737880070312</v>
      </c>
      <c r="E173" s="196">
        <f t="shared" ref="E173:E188" si="35">bandwidth15*ongoingResourcePercentage15*mbToGB*KBperGB*POWER(1+bandwidthGrowth,A173)</f>
        <v>625</v>
      </c>
      <c r="F173" s="109">
        <f>(bandwidth15*ongoingResourcePercentage15*mbToGB*POWER(1+bandwidthGrowth,A173)*1000)*secondsPerBlock/2</f>
        <v>187.5</v>
      </c>
      <c r="G173" s="109">
        <f t="shared" ref="G173:G188" si="36">F173*endGameTransactionSize/(endGameTransactionSize+D173)</f>
        <v>77.470080255140644</v>
      </c>
      <c r="H173" s="189">
        <f t="shared" ref="H173:H188" si="37">F173*1000*1000/(secondsPerBlock*(avgTrSize+D173))</f>
        <v>271.8248430004935</v>
      </c>
    </row>
    <row r="174" spans="1:8" x14ac:dyDescent="0.25">
      <c r="A174" s="94">
        <v>1</v>
      </c>
      <c r="B174" s="191">
        <f t="shared" si="33"/>
        <v>0.91999999999999993</v>
      </c>
      <c r="C174" s="94">
        <f t="shared" si="34"/>
        <v>29</v>
      </c>
      <c r="D174" s="119">
        <f t="shared" ref="D174:D188" si="38">$B$125*32*(LOG((endGameUsers*1000*1000*1000)*utxosPerUserEndGame, 2)-C174)</f>
        <v>674.63737880070312</v>
      </c>
      <c r="E174" s="196">
        <f t="shared" si="35"/>
        <v>781.25</v>
      </c>
      <c r="F174" s="109">
        <f t="shared" ref="F174:F188" si="39">(bandwidth15*ongoingResourcePercentage15*POWER(1+bandwidthGrowth,A174)*mbToGB*1000)*secondsPerBlock/2</f>
        <v>234.375</v>
      </c>
      <c r="G174" s="109">
        <f t="shared" si="36"/>
        <v>96.837600318925809</v>
      </c>
      <c r="H174" s="189">
        <f t="shared" si="37"/>
        <v>339.78105375061688</v>
      </c>
    </row>
    <row r="175" spans="1:8" x14ac:dyDescent="0.25">
      <c r="A175" s="94">
        <v>2</v>
      </c>
      <c r="B175" s="191">
        <f t="shared" si="33"/>
        <v>1.0579999999999998</v>
      </c>
      <c r="C175" s="94">
        <f t="shared" si="34"/>
        <v>29</v>
      </c>
      <c r="D175" s="119">
        <f t="shared" si="38"/>
        <v>674.63737880070312</v>
      </c>
      <c r="E175" s="196">
        <f t="shared" si="35"/>
        <v>976.5625</v>
      </c>
      <c r="F175" s="109">
        <f t="shared" si="39"/>
        <v>292.96875</v>
      </c>
      <c r="G175" s="109">
        <f t="shared" si="36"/>
        <v>121.04700039865726</v>
      </c>
      <c r="H175" s="189">
        <f t="shared" si="37"/>
        <v>424.72631718827114</v>
      </c>
    </row>
    <row r="176" spans="1:8" x14ac:dyDescent="0.25">
      <c r="A176" s="94">
        <v>3</v>
      </c>
      <c r="B176" s="191">
        <f t="shared" si="33"/>
        <v>1.2166999999999997</v>
      </c>
      <c r="C176" s="94">
        <f t="shared" si="34"/>
        <v>30</v>
      </c>
      <c r="D176" s="119">
        <f t="shared" si="38"/>
        <v>610.63737880070312</v>
      </c>
      <c r="E176" s="196">
        <f t="shared" si="35"/>
        <v>1220.703125</v>
      </c>
      <c r="F176" s="109">
        <f t="shared" si="39"/>
        <v>366.2109375</v>
      </c>
      <c r="G176" s="109">
        <f t="shared" si="36"/>
        <v>160.22863500210514</v>
      </c>
      <c r="H176" s="189">
        <f t="shared" si="37"/>
        <v>562.2057368494917</v>
      </c>
    </row>
    <row r="177" spans="1:11" x14ac:dyDescent="0.25">
      <c r="A177" s="94">
        <v>4</v>
      </c>
      <c r="B177" s="191">
        <f t="shared" si="33"/>
        <v>1.3992049999999996</v>
      </c>
      <c r="C177" s="94">
        <f t="shared" si="34"/>
        <v>30</v>
      </c>
      <c r="D177" s="119">
        <f t="shared" si="38"/>
        <v>610.63737880070312</v>
      </c>
      <c r="E177" s="196">
        <f t="shared" si="35"/>
        <v>1525.87890625</v>
      </c>
      <c r="F177" s="109">
        <f t="shared" si="39"/>
        <v>457.763671875</v>
      </c>
      <c r="G177" s="109">
        <f t="shared" si="36"/>
        <v>200.28579375263141</v>
      </c>
      <c r="H177" s="189">
        <f t="shared" si="37"/>
        <v>702.7571710618646</v>
      </c>
    </row>
    <row r="178" spans="1:11" x14ac:dyDescent="0.25">
      <c r="A178" s="94">
        <v>5</v>
      </c>
      <c r="B178" s="191">
        <f t="shared" si="33"/>
        <v>1.6090857499999995</v>
      </c>
      <c r="C178" s="94">
        <f t="shared" si="34"/>
        <v>30</v>
      </c>
      <c r="D178" s="119">
        <f t="shared" si="38"/>
        <v>610.63737880070312</v>
      </c>
      <c r="E178" s="196">
        <f t="shared" si="35"/>
        <v>1907.3486328125</v>
      </c>
      <c r="F178" s="109">
        <f t="shared" si="39"/>
        <v>572.20458984375</v>
      </c>
      <c r="G178" s="109">
        <f t="shared" si="36"/>
        <v>250.35724219078926</v>
      </c>
      <c r="H178" s="189">
        <f t="shared" si="37"/>
        <v>878.44646382733083</v>
      </c>
    </row>
    <row r="179" spans="1:11" x14ac:dyDescent="0.25">
      <c r="A179" s="94">
        <v>6</v>
      </c>
      <c r="B179" s="191">
        <f t="shared" si="33"/>
        <v>1.8504486124999993</v>
      </c>
      <c r="C179" s="94">
        <f t="shared" si="34"/>
        <v>30</v>
      </c>
      <c r="D179" s="119">
        <f t="shared" si="38"/>
        <v>610.63737880070312</v>
      </c>
      <c r="E179" s="196">
        <f t="shared" si="35"/>
        <v>2384.185791015625</v>
      </c>
      <c r="F179" s="109">
        <f t="shared" si="39"/>
        <v>715.2557373046875</v>
      </c>
      <c r="G179" s="109">
        <f t="shared" si="36"/>
        <v>312.94655273848656</v>
      </c>
      <c r="H179" s="189">
        <f t="shared" si="37"/>
        <v>1098.0580797841635</v>
      </c>
    </row>
    <row r="180" spans="1:11" x14ac:dyDescent="0.25">
      <c r="A180" s="94">
        <v>7</v>
      </c>
      <c r="B180" s="191">
        <f t="shared" si="33"/>
        <v>2.1280159043749989</v>
      </c>
      <c r="C180" s="94">
        <f t="shared" si="34"/>
        <v>30</v>
      </c>
      <c r="D180" s="119">
        <f t="shared" si="38"/>
        <v>610.63737880070312</v>
      </c>
      <c r="E180" s="196">
        <f t="shared" si="35"/>
        <v>2980.2322387695312</v>
      </c>
      <c r="F180" s="109">
        <f t="shared" si="39"/>
        <v>894.06967163085937</v>
      </c>
      <c r="G180" s="109">
        <f t="shared" si="36"/>
        <v>391.18319092310821</v>
      </c>
      <c r="H180" s="189">
        <f t="shared" si="37"/>
        <v>1372.5725997302043</v>
      </c>
    </row>
    <row r="181" spans="1:11" x14ac:dyDescent="0.25">
      <c r="A181" s="94">
        <v>8</v>
      </c>
      <c r="B181" s="191">
        <f t="shared" si="33"/>
        <v>2.4472182900312482</v>
      </c>
      <c r="C181" s="94">
        <f t="shared" si="34"/>
        <v>31</v>
      </c>
      <c r="D181" s="119">
        <f t="shared" si="38"/>
        <v>546.63737880070312</v>
      </c>
      <c r="E181" s="196">
        <f t="shared" si="35"/>
        <v>3725.2902984619141</v>
      </c>
      <c r="F181" s="109">
        <f t="shared" si="39"/>
        <v>1117.5870895385742</v>
      </c>
      <c r="G181" s="109">
        <f t="shared" si="36"/>
        <v>519.610850724736</v>
      </c>
      <c r="H181" s="189">
        <f t="shared" si="37"/>
        <v>1823.1959674552143</v>
      </c>
    </row>
    <row r="182" spans="1:11" x14ac:dyDescent="0.25">
      <c r="A182" s="94">
        <v>9</v>
      </c>
      <c r="B182" s="191">
        <f t="shared" si="33"/>
        <v>2.8143010335359353</v>
      </c>
      <c r="C182" s="94">
        <f t="shared" si="34"/>
        <v>31</v>
      </c>
      <c r="D182" s="119">
        <f t="shared" si="38"/>
        <v>546.63737880070312</v>
      </c>
      <c r="E182" s="196">
        <f t="shared" si="35"/>
        <v>4656.6128730773926</v>
      </c>
      <c r="F182" s="109">
        <f t="shared" si="39"/>
        <v>1396.9838619232178</v>
      </c>
      <c r="G182" s="109">
        <f t="shared" si="36"/>
        <v>649.51356340592008</v>
      </c>
      <c r="H182" s="189">
        <f t="shared" si="37"/>
        <v>2278.9949593190177</v>
      </c>
    </row>
    <row r="183" spans="1:11" x14ac:dyDescent="0.25">
      <c r="A183" s="94">
        <v>10</v>
      </c>
      <c r="B183" s="191">
        <f t="shared" si="33"/>
        <v>3.2364461885663256</v>
      </c>
      <c r="C183" s="94">
        <f t="shared" si="34"/>
        <v>31</v>
      </c>
      <c r="D183" s="119">
        <f t="shared" si="38"/>
        <v>546.63737880070312</v>
      </c>
      <c r="E183" s="196">
        <f t="shared" si="35"/>
        <v>5820.7660913467407</v>
      </c>
      <c r="F183" s="109">
        <f t="shared" si="39"/>
        <v>1746.2298274040222</v>
      </c>
      <c r="G183" s="109">
        <f t="shared" si="36"/>
        <v>811.89195425740002</v>
      </c>
      <c r="H183" s="189">
        <f t="shared" si="37"/>
        <v>2848.7436991487725</v>
      </c>
    </row>
    <row r="184" spans="1:11" x14ac:dyDescent="0.25">
      <c r="A184" s="94">
        <v>11</v>
      </c>
      <c r="B184" s="191">
        <f t="shared" si="33"/>
        <v>3.7219131168512742</v>
      </c>
      <c r="C184" s="94">
        <f t="shared" si="34"/>
        <v>31</v>
      </c>
      <c r="D184" s="119">
        <f t="shared" si="38"/>
        <v>546.63737880070312</v>
      </c>
      <c r="E184" s="196">
        <f t="shared" si="35"/>
        <v>7275.9576141834259</v>
      </c>
      <c r="F184" s="109">
        <f t="shared" si="39"/>
        <v>2182.7872842550278</v>
      </c>
      <c r="G184" s="109">
        <f t="shared" si="36"/>
        <v>1014.8649428217501</v>
      </c>
      <c r="H184" s="189">
        <f t="shared" si="37"/>
        <v>3560.9296239359655</v>
      </c>
    </row>
    <row r="185" spans="1:11" x14ac:dyDescent="0.25">
      <c r="A185" s="94">
        <v>12</v>
      </c>
      <c r="B185" s="191">
        <f t="shared" si="33"/>
        <v>4.280200084378964</v>
      </c>
      <c r="C185" s="94">
        <f t="shared" si="34"/>
        <v>31</v>
      </c>
      <c r="D185" s="119">
        <f t="shared" si="38"/>
        <v>546.63737880070312</v>
      </c>
      <c r="E185" s="196">
        <f t="shared" si="35"/>
        <v>9094.9470177292824</v>
      </c>
      <c r="F185" s="109">
        <f t="shared" si="39"/>
        <v>2728.4841053187847</v>
      </c>
      <c r="G185" s="109">
        <f t="shared" si="36"/>
        <v>1268.5811785271876</v>
      </c>
      <c r="H185" s="189">
        <f t="shared" si="37"/>
        <v>4451.1620299199567</v>
      </c>
    </row>
    <row r="186" spans="1:11" x14ac:dyDescent="0.25">
      <c r="A186" s="94">
        <v>13</v>
      </c>
      <c r="B186" s="191">
        <f t="shared" si="33"/>
        <v>4.9222300970358095</v>
      </c>
      <c r="C186" s="94">
        <f t="shared" si="34"/>
        <v>32</v>
      </c>
      <c r="D186" s="119">
        <f t="shared" si="38"/>
        <v>482.63737880070312</v>
      </c>
      <c r="E186" s="196">
        <f t="shared" si="35"/>
        <v>11368.683772161603</v>
      </c>
      <c r="F186" s="109">
        <f t="shared" si="39"/>
        <v>3410.6051316484809</v>
      </c>
      <c r="G186" s="109">
        <f t="shared" si="36"/>
        <v>1691.7023848441274</v>
      </c>
      <c r="H186" s="189">
        <f t="shared" si="37"/>
        <v>5935.797841558342</v>
      </c>
    </row>
    <row r="187" spans="1:11" x14ac:dyDescent="0.25">
      <c r="A187" s="94">
        <v>14</v>
      </c>
      <c r="B187" s="191">
        <f t="shared" si="33"/>
        <v>5.6605646115911803</v>
      </c>
      <c r="C187" s="94">
        <f t="shared" si="34"/>
        <v>32</v>
      </c>
      <c r="D187" s="119">
        <f t="shared" si="38"/>
        <v>482.63737880070312</v>
      </c>
      <c r="E187" s="196">
        <f t="shared" si="35"/>
        <v>14210.854715202004</v>
      </c>
      <c r="F187" s="109">
        <f t="shared" si="39"/>
        <v>4263.2564145606011</v>
      </c>
      <c r="G187" s="109">
        <f t="shared" si="36"/>
        <v>2114.6279810551591</v>
      </c>
      <c r="H187" s="189">
        <f t="shared" si="37"/>
        <v>7419.7473019479276</v>
      </c>
    </row>
    <row r="188" spans="1:11" x14ac:dyDescent="0.25">
      <c r="A188" s="94">
        <v>15</v>
      </c>
      <c r="B188" s="191">
        <f t="shared" si="33"/>
        <v>6.5096493033298559</v>
      </c>
      <c r="C188" s="94">
        <f t="shared" si="34"/>
        <v>32</v>
      </c>
      <c r="D188" s="119">
        <f t="shared" si="38"/>
        <v>482.63737880070312</v>
      </c>
      <c r="E188" s="196">
        <f t="shared" si="35"/>
        <v>17763.568394002505</v>
      </c>
      <c r="F188" s="109">
        <f t="shared" si="39"/>
        <v>5329.0705182007514</v>
      </c>
      <c r="G188" s="109">
        <f t="shared" si="36"/>
        <v>2643.2849763189488</v>
      </c>
      <c r="H188" s="189">
        <f t="shared" si="37"/>
        <v>9274.6841274349099</v>
      </c>
    </row>
    <row r="189" spans="1:11" s="94" customFormat="1" x14ac:dyDescent="0.25"/>
    <row r="190" spans="1:11" s="94" customFormat="1" x14ac:dyDescent="0.25">
      <c r="A190" s="99" t="s">
        <v>189</v>
      </c>
      <c r="E190" s="187"/>
      <c r="H190" s="187"/>
    </row>
    <row r="191" spans="1:11" s="94" customFormat="1" x14ac:dyDescent="0.25">
      <c r="A191" s="99"/>
      <c r="E191" s="187"/>
      <c r="G191" s="187" t="s">
        <v>187</v>
      </c>
      <c r="H191" s="187"/>
    </row>
    <row r="192" spans="1:11" s="94" customFormat="1" x14ac:dyDescent="0.25">
      <c r="B192" s="187" t="s">
        <v>184</v>
      </c>
      <c r="C192" s="187" t="s">
        <v>107</v>
      </c>
      <c r="D192" s="187" t="s">
        <v>102</v>
      </c>
      <c r="E192" s="187" t="s">
        <v>140</v>
      </c>
      <c r="F192" s="187" t="s">
        <v>30</v>
      </c>
      <c r="G192" s="187" t="s">
        <v>188</v>
      </c>
      <c r="H192" s="187"/>
      <c r="I192" s="187"/>
      <c r="J192" s="187"/>
      <c r="K192" s="187"/>
    </row>
    <row r="193" spans="1:11" s="94" customFormat="1" x14ac:dyDescent="0.25">
      <c r="A193" s="188" t="s">
        <v>7</v>
      </c>
      <c r="B193" s="187" t="s">
        <v>113</v>
      </c>
      <c r="C193" s="187" t="s">
        <v>183</v>
      </c>
      <c r="D193" s="187" t="s">
        <v>103</v>
      </c>
      <c r="E193" s="187" t="s">
        <v>101</v>
      </c>
      <c r="F193" s="187" t="s">
        <v>17</v>
      </c>
      <c r="G193" s="187" t="s">
        <v>32</v>
      </c>
      <c r="H193" s="187"/>
      <c r="I193" s="187"/>
      <c r="J193" s="187"/>
      <c r="K193" s="187"/>
    </row>
    <row r="194" spans="1:11" s="94" customFormat="1" x14ac:dyDescent="0.25">
      <c r="A194" s="94">
        <v>0</v>
      </c>
      <c r="B194" s="191">
        <f t="shared" ref="B194:B209" si="40">memory15*POWER(1+memoryGrowth,A194)*ongoingResourcePercentage15</f>
        <v>0.8</v>
      </c>
      <c r="C194" s="94">
        <f>FLOOR(LOG(B194*1000*1000*1000, 2),1)</f>
        <v>29</v>
      </c>
      <c r="D194" s="119">
        <f>$B$125*32*(LOG((endGameUsers*1000*1000*1000)*utxosPerUserEndGame, 2)-C194)</f>
        <v>674.63737880070312</v>
      </c>
      <c r="E194" s="189">
        <f t="shared" ref="E194:E209" si="41">(throughput15*ongoingResourcePercentage15*POWER(1+cpuGrowth,A194))</f>
        <v>500</v>
      </c>
      <c r="F194" s="109">
        <f t="shared" ref="F194:F209" si="42">E194*secondsPerBlock*(endGameTransactionSize+D194)/1000/1000</f>
        <v>344.89121364021094</v>
      </c>
      <c r="G194" s="109">
        <f t="shared" ref="G194:G209" si="43">F194*endGameTransactionSize/(endGameTransactionSize+D194)</f>
        <v>142.5</v>
      </c>
      <c r="H194" s="87"/>
      <c r="I194" s="82"/>
      <c r="J194" s="87"/>
      <c r="K194" s="64"/>
    </row>
    <row r="195" spans="1:11" s="94" customFormat="1" x14ac:dyDescent="0.25">
      <c r="A195" s="94">
        <v>1</v>
      </c>
      <c r="B195" s="191">
        <f t="shared" si="40"/>
        <v>0.91999999999999993</v>
      </c>
      <c r="C195" s="94">
        <f t="shared" ref="C195:C209" si="44">FLOOR(LOG((memory15*1000*1000*1000)*POWER(1+memoryGrowth,A195)*ongoingResourcePercentage15, 2),1)</f>
        <v>29</v>
      </c>
      <c r="D195" s="119">
        <f t="shared" ref="D195:D209" si="45">$B$125*32*(LOG((endGameUsers*1000*1000*1000)*utxosPerUserEndGame, 2)-C195)</f>
        <v>674.63737880070312</v>
      </c>
      <c r="E195" s="189">
        <f t="shared" si="41"/>
        <v>585</v>
      </c>
      <c r="F195" s="109">
        <f t="shared" si="42"/>
        <v>403.52271995904681</v>
      </c>
      <c r="G195" s="109">
        <f t="shared" si="43"/>
        <v>166.72500000000002</v>
      </c>
      <c r="H195" s="87"/>
      <c r="I195" s="82"/>
      <c r="J195" s="87"/>
      <c r="K195" s="64"/>
    </row>
    <row r="196" spans="1:11" s="94" customFormat="1" x14ac:dyDescent="0.25">
      <c r="A196" s="94">
        <v>2</v>
      </c>
      <c r="B196" s="191">
        <f t="shared" si="40"/>
        <v>1.0579999999999998</v>
      </c>
      <c r="C196" s="94">
        <f t="shared" si="44"/>
        <v>29</v>
      </c>
      <c r="D196" s="119">
        <f t="shared" si="45"/>
        <v>674.63737880070312</v>
      </c>
      <c r="E196" s="189">
        <f t="shared" si="41"/>
        <v>684.44999999999993</v>
      </c>
      <c r="F196" s="109">
        <f t="shared" si="42"/>
        <v>472.12158235208472</v>
      </c>
      <c r="G196" s="109">
        <f t="shared" si="43"/>
        <v>195.06825000000001</v>
      </c>
      <c r="H196" s="87"/>
      <c r="I196" s="82"/>
      <c r="J196" s="87"/>
      <c r="K196" s="64"/>
    </row>
    <row r="197" spans="1:11" s="94" customFormat="1" x14ac:dyDescent="0.25">
      <c r="A197" s="94">
        <v>3</v>
      </c>
      <c r="B197" s="191">
        <f t="shared" si="40"/>
        <v>1.2166999999999997</v>
      </c>
      <c r="C197" s="94">
        <f t="shared" si="44"/>
        <v>30</v>
      </c>
      <c r="D197" s="119">
        <f t="shared" si="45"/>
        <v>610.63737880070312</v>
      </c>
      <c r="E197" s="189">
        <f t="shared" si="41"/>
        <v>800.80649999999991</v>
      </c>
      <c r="F197" s="109">
        <f t="shared" si="42"/>
        <v>521.63128175193913</v>
      </c>
      <c r="G197" s="109">
        <f t="shared" si="43"/>
        <v>228.22985249999999</v>
      </c>
      <c r="H197" s="87"/>
      <c r="I197" s="82"/>
      <c r="J197" s="87"/>
      <c r="K197" s="64"/>
    </row>
    <row r="198" spans="1:11" s="94" customFormat="1" x14ac:dyDescent="0.25">
      <c r="A198" s="94">
        <v>4</v>
      </c>
      <c r="B198" s="191">
        <f t="shared" si="40"/>
        <v>1.3992049999999996</v>
      </c>
      <c r="C198" s="94">
        <f t="shared" si="44"/>
        <v>30</v>
      </c>
      <c r="D198" s="119">
        <f t="shared" si="45"/>
        <v>610.63737880070312</v>
      </c>
      <c r="E198" s="189">
        <f t="shared" si="41"/>
        <v>936.94360499999971</v>
      </c>
      <c r="F198" s="109">
        <f t="shared" si="42"/>
        <v>610.30859964976855</v>
      </c>
      <c r="G198" s="109">
        <f t="shared" si="43"/>
        <v>267.02892742499989</v>
      </c>
      <c r="H198" s="87"/>
      <c r="I198" s="82"/>
      <c r="J198" s="87"/>
      <c r="K198" s="64"/>
    </row>
    <row r="199" spans="1:11" s="94" customFormat="1" x14ac:dyDescent="0.25">
      <c r="A199" s="94">
        <v>5</v>
      </c>
      <c r="B199" s="191">
        <f t="shared" si="40"/>
        <v>1.6090857499999995</v>
      </c>
      <c r="C199" s="94">
        <f t="shared" si="44"/>
        <v>30</v>
      </c>
      <c r="D199" s="119">
        <f t="shared" si="45"/>
        <v>610.63737880070312</v>
      </c>
      <c r="E199" s="189">
        <f t="shared" si="41"/>
        <v>1096.2240178499997</v>
      </c>
      <c r="F199" s="109">
        <f t="shared" si="42"/>
        <v>714.06106159022931</v>
      </c>
      <c r="G199" s="109">
        <f t="shared" si="43"/>
        <v>312.42384508724996</v>
      </c>
      <c r="H199" s="87"/>
      <c r="I199" s="82"/>
      <c r="J199" s="87"/>
      <c r="K199" s="64"/>
    </row>
    <row r="200" spans="1:11" s="94" customFormat="1" x14ac:dyDescent="0.25">
      <c r="A200" s="94">
        <v>6</v>
      </c>
      <c r="B200" s="191">
        <f t="shared" si="40"/>
        <v>1.8504486124999993</v>
      </c>
      <c r="C200" s="94">
        <f t="shared" si="44"/>
        <v>30</v>
      </c>
      <c r="D200" s="119">
        <f t="shared" si="45"/>
        <v>610.63737880070312</v>
      </c>
      <c r="E200" s="189">
        <f t="shared" si="41"/>
        <v>1282.5821008844996</v>
      </c>
      <c r="F200" s="109">
        <f t="shared" si="42"/>
        <v>835.4514420605683</v>
      </c>
      <c r="G200" s="109">
        <f t="shared" si="43"/>
        <v>365.5358987520824</v>
      </c>
      <c r="H200" s="87"/>
      <c r="I200" s="82"/>
      <c r="J200" s="87"/>
      <c r="K200" s="64"/>
    </row>
    <row r="201" spans="1:11" s="94" customFormat="1" x14ac:dyDescent="0.25">
      <c r="A201" s="94">
        <v>7</v>
      </c>
      <c r="B201" s="191">
        <f t="shared" si="40"/>
        <v>2.1280159043749989</v>
      </c>
      <c r="C201" s="94">
        <f t="shared" si="44"/>
        <v>30</v>
      </c>
      <c r="D201" s="119">
        <f t="shared" si="45"/>
        <v>610.63737880070312</v>
      </c>
      <c r="E201" s="189">
        <f t="shared" si="41"/>
        <v>1500.6210580348643</v>
      </c>
      <c r="F201" s="109">
        <f t="shared" si="42"/>
        <v>977.47818721086458</v>
      </c>
      <c r="G201" s="109">
        <f t="shared" si="43"/>
        <v>427.67700153993627</v>
      </c>
      <c r="H201" s="87"/>
      <c r="I201" s="82"/>
      <c r="J201" s="87"/>
      <c r="K201" s="64"/>
    </row>
    <row r="202" spans="1:11" s="94" customFormat="1" x14ac:dyDescent="0.25">
      <c r="A202" s="94">
        <v>8</v>
      </c>
      <c r="B202" s="191">
        <f t="shared" si="40"/>
        <v>2.4472182900312482</v>
      </c>
      <c r="C202" s="94">
        <f t="shared" si="44"/>
        <v>31</v>
      </c>
      <c r="D202" s="119">
        <f t="shared" si="45"/>
        <v>546.63737880070312</v>
      </c>
      <c r="E202" s="189">
        <f t="shared" si="41"/>
        <v>1755.726637900791</v>
      </c>
      <c r="F202" s="109">
        <f t="shared" si="42"/>
        <v>1076.2295761413211</v>
      </c>
      <c r="G202" s="109">
        <f t="shared" si="43"/>
        <v>500.38209180172538</v>
      </c>
      <c r="H202" s="87"/>
      <c r="I202" s="82"/>
      <c r="J202" s="87"/>
      <c r="K202" s="64"/>
    </row>
    <row r="203" spans="1:11" s="94" customFormat="1" x14ac:dyDescent="0.25">
      <c r="A203" s="94">
        <v>9</v>
      </c>
      <c r="B203" s="191">
        <f t="shared" si="40"/>
        <v>2.8143010335359353</v>
      </c>
      <c r="C203" s="94">
        <f t="shared" si="44"/>
        <v>31</v>
      </c>
      <c r="D203" s="119">
        <f t="shared" si="45"/>
        <v>546.63737880070312</v>
      </c>
      <c r="E203" s="189">
        <f t="shared" si="41"/>
        <v>2054.200166343925</v>
      </c>
      <c r="F203" s="109">
        <f t="shared" si="42"/>
        <v>1259.1886040853456</v>
      </c>
      <c r="G203" s="109">
        <f t="shared" si="43"/>
        <v>585.44704740801865</v>
      </c>
      <c r="H203" s="87"/>
      <c r="I203" s="82"/>
      <c r="J203" s="87"/>
      <c r="K203" s="64"/>
    </row>
    <row r="204" spans="1:11" s="94" customFormat="1" x14ac:dyDescent="0.25">
      <c r="A204" s="94">
        <v>10</v>
      </c>
      <c r="B204" s="191">
        <f t="shared" si="40"/>
        <v>3.2364461885663256</v>
      </c>
      <c r="C204" s="94">
        <f t="shared" si="44"/>
        <v>31</v>
      </c>
      <c r="D204" s="119">
        <f t="shared" si="45"/>
        <v>546.63737880070312</v>
      </c>
      <c r="E204" s="189">
        <f t="shared" si="41"/>
        <v>2403.4141946223926</v>
      </c>
      <c r="F204" s="109">
        <f t="shared" si="42"/>
        <v>1473.2506667798546</v>
      </c>
      <c r="G204" s="109">
        <f t="shared" si="43"/>
        <v>684.97304546738189</v>
      </c>
      <c r="H204" s="87"/>
      <c r="I204" s="82"/>
      <c r="J204" s="87"/>
      <c r="K204" s="64"/>
    </row>
    <row r="205" spans="1:11" s="94" customFormat="1" x14ac:dyDescent="0.25">
      <c r="A205" s="94">
        <v>11</v>
      </c>
      <c r="B205" s="191">
        <f t="shared" si="40"/>
        <v>3.7219131168512742</v>
      </c>
      <c r="C205" s="94">
        <f t="shared" si="44"/>
        <v>31</v>
      </c>
      <c r="D205" s="119">
        <f t="shared" si="45"/>
        <v>546.63737880070312</v>
      </c>
      <c r="E205" s="189">
        <f t="shared" si="41"/>
        <v>2811.9946077081991</v>
      </c>
      <c r="F205" s="109">
        <f t="shared" si="42"/>
        <v>1723.7032801324297</v>
      </c>
      <c r="G205" s="109">
        <f t="shared" si="43"/>
        <v>801.4184631968368</v>
      </c>
      <c r="H205" s="87"/>
      <c r="I205" s="82"/>
      <c r="J205" s="87"/>
      <c r="K205" s="64"/>
    </row>
    <row r="206" spans="1:11" s="94" customFormat="1" x14ac:dyDescent="0.25">
      <c r="A206" s="94">
        <v>12</v>
      </c>
      <c r="B206" s="191">
        <f t="shared" si="40"/>
        <v>4.280200084378964</v>
      </c>
      <c r="C206" s="94">
        <f t="shared" si="44"/>
        <v>31</v>
      </c>
      <c r="D206" s="119">
        <f t="shared" si="45"/>
        <v>546.63737880070312</v>
      </c>
      <c r="E206" s="189">
        <f t="shared" si="41"/>
        <v>3290.0336910185924</v>
      </c>
      <c r="F206" s="109">
        <f t="shared" si="42"/>
        <v>2016.7328377549422</v>
      </c>
      <c r="G206" s="109">
        <f t="shared" si="43"/>
        <v>937.65960194029878</v>
      </c>
      <c r="H206" s="87"/>
      <c r="I206" s="82"/>
      <c r="J206" s="87"/>
      <c r="K206" s="64"/>
    </row>
    <row r="207" spans="1:11" s="94" customFormat="1" x14ac:dyDescent="0.25">
      <c r="A207" s="94">
        <v>13</v>
      </c>
      <c r="B207" s="191">
        <f t="shared" si="40"/>
        <v>4.9222300970358095</v>
      </c>
      <c r="C207" s="94">
        <f t="shared" si="44"/>
        <v>32</v>
      </c>
      <c r="D207" s="119">
        <f t="shared" si="45"/>
        <v>482.63737880070312</v>
      </c>
      <c r="E207" s="189">
        <f t="shared" si="41"/>
        <v>3849.3394184917529</v>
      </c>
      <c r="F207" s="109">
        <f t="shared" si="42"/>
        <v>2211.7627865031991</v>
      </c>
      <c r="G207" s="109">
        <f t="shared" si="43"/>
        <v>1097.0617342701496</v>
      </c>
      <c r="H207" s="87"/>
      <c r="I207" s="82"/>
      <c r="J207" s="87"/>
      <c r="K207" s="64"/>
    </row>
    <row r="208" spans="1:11" s="94" customFormat="1" x14ac:dyDescent="0.25">
      <c r="A208" s="94">
        <v>14</v>
      </c>
      <c r="B208" s="191">
        <f t="shared" si="40"/>
        <v>5.6605646115911803</v>
      </c>
      <c r="C208" s="94">
        <f t="shared" si="44"/>
        <v>32</v>
      </c>
      <c r="D208" s="119">
        <f t="shared" si="45"/>
        <v>482.63737880070312</v>
      </c>
      <c r="E208" s="189">
        <f t="shared" si="41"/>
        <v>4503.7271196353513</v>
      </c>
      <c r="F208" s="109">
        <f t="shared" si="42"/>
        <v>2587.7624602087431</v>
      </c>
      <c r="G208" s="109">
        <f t="shared" si="43"/>
        <v>1283.562229096075</v>
      </c>
      <c r="H208" s="87"/>
      <c r="I208" s="82"/>
      <c r="J208" s="87"/>
      <c r="K208" s="64"/>
    </row>
    <row r="209" spans="1:11" s="94" customFormat="1" x14ac:dyDescent="0.25">
      <c r="A209" s="94">
        <v>15</v>
      </c>
      <c r="B209" s="191">
        <f t="shared" si="40"/>
        <v>6.5096493033298559</v>
      </c>
      <c r="C209" s="94">
        <f t="shared" si="44"/>
        <v>32</v>
      </c>
      <c r="D209" s="119">
        <f t="shared" si="45"/>
        <v>482.63737880070312</v>
      </c>
      <c r="E209" s="189">
        <f t="shared" si="41"/>
        <v>5269.3607299733594</v>
      </c>
      <c r="F209" s="109">
        <f t="shared" si="42"/>
        <v>3027.6820784442284</v>
      </c>
      <c r="G209" s="109">
        <f t="shared" si="43"/>
        <v>1501.7678080424073</v>
      </c>
      <c r="H209" s="87"/>
      <c r="I209" s="82"/>
      <c r="J209" s="87"/>
      <c r="K209" s="64"/>
    </row>
    <row r="211" spans="1:11" s="94" customFormat="1" x14ac:dyDescent="0.25">
      <c r="A211" s="99" t="s">
        <v>191</v>
      </c>
    </row>
    <row r="212" spans="1:11" s="94" customFormat="1" x14ac:dyDescent="0.25">
      <c r="F212" s="187" t="s">
        <v>187</v>
      </c>
    </row>
    <row r="213" spans="1:11" s="94" customFormat="1" x14ac:dyDescent="0.25">
      <c r="B213" s="187" t="s">
        <v>184</v>
      </c>
      <c r="C213" s="187" t="s">
        <v>107</v>
      </c>
      <c r="D213" s="187" t="s">
        <v>102</v>
      </c>
      <c r="E213" s="187" t="s">
        <v>140</v>
      </c>
      <c r="F213" s="187" t="s">
        <v>188</v>
      </c>
      <c r="G213" s="187" t="s">
        <v>30</v>
      </c>
      <c r="H213" s="187"/>
      <c r="J213" s="187"/>
    </row>
    <row r="214" spans="1:11" s="94" customFormat="1" x14ac:dyDescent="0.25">
      <c r="A214" s="188" t="s">
        <v>7</v>
      </c>
      <c r="B214" s="187" t="s">
        <v>113</v>
      </c>
      <c r="C214" s="187" t="s">
        <v>183</v>
      </c>
      <c r="D214" s="187" t="s">
        <v>103</v>
      </c>
      <c r="E214" s="187" t="s">
        <v>32</v>
      </c>
      <c r="F214" s="187" t="s">
        <v>32</v>
      </c>
      <c r="G214" s="187" t="s">
        <v>55</v>
      </c>
      <c r="H214" s="187"/>
      <c r="J214" s="187"/>
    </row>
    <row r="215" spans="1:11" s="94" customFormat="1" x14ac:dyDescent="0.25">
      <c r="A215" s="94">
        <v>0</v>
      </c>
      <c r="B215" s="191">
        <f t="shared" ref="B215:B230" si="46">memory15*POWER(1+memoryGrowth,A215)*ongoingResourcePercentage15</f>
        <v>0.8</v>
      </c>
      <c r="C215" s="94">
        <f t="shared" ref="C215:C230" si="47">FLOOR(LOG((memory15*1000*1000*1000)*POWER(1+memoryGrowth,A215)*ongoingResourcePercentage15, 2),1)</f>
        <v>29</v>
      </c>
      <c r="D215" s="119">
        <f>$B$125*32*(LOG((endGameUsers*1000*1000*1000)*utxosPerUserEndGame, 2)-C215)</f>
        <v>674.63737880070312</v>
      </c>
      <c r="E215" s="109">
        <f t="shared" ref="E215:E230" si="48">(bandwidth15*endGameEmergencyUsage*mbToGB*POWER(1+bandwidthGrowth,A215)*1000)*secondsPerBlock/2</f>
        <v>1406.25</v>
      </c>
      <c r="F215" s="109">
        <f t="shared" ref="F215:F230" si="49">E215*endGameTransactionSize/(endGameTransactionSize+D215)</f>
        <v>581.02560191355485</v>
      </c>
      <c r="G215" s="189">
        <f t="shared" ref="G215:G230" si="50">E215*1000*1000/(secondsPerBlock*(avgTrSize+D215))</f>
        <v>2038.6863225037014</v>
      </c>
      <c r="J215" s="97"/>
    </row>
    <row r="216" spans="1:11" s="94" customFormat="1" x14ac:dyDescent="0.25">
      <c r="A216" s="94">
        <v>1</v>
      </c>
      <c r="B216" s="191">
        <f t="shared" si="46"/>
        <v>0.91999999999999993</v>
      </c>
      <c r="C216" s="94">
        <f t="shared" si="47"/>
        <v>29</v>
      </c>
      <c r="D216" s="119">
        <f t="shared" ref="D216:D230" si="51">$B$125*32*(LOG((endGameUsers*1000*1000*1000)*utxosPerUserEndGame, 2)-C216)</f>
        <v>674.63737880070312</v>
      </c>
      <c r="E216" s="109">
        <f t="shared" si="48"/>
        <v>1757.8125</v>
      </c>
      <c r="F216" s="109">
        <f t="shared" si="49"/>
        <v>726.28200239194359</v>
      </c>
      <c r="G216" s="189">
        <f t="shared" si="50"/>
        <v>2548.3579031296267</v>
      </c>
      <c r="J216" s="97"/>
    </row>
    <row r="217" spans="1:11" s="94" customFormat="1" x14ac:dyDescent="0.25">
      <c r="A217" s="94">
        <v>2</v>
      </c>
      <c r="B217" s="191">
        <f t="shared" si="46"/>
        <v>1.0579999999999998</v>
      </c>
      <c r="C217" s="94">
        <f t="shared" si="47"/>
        <v>29</v>
      </c>
      <c r="D217" s="119">
        <f t="shared" si="51"/>
        <v>674.63737880070312</v>
      </c>
      <c r="E217" s="109">
        <f t="shared" si="48"/>
        <v>2197.265625</v>
      </c>
      <c r="F217" s="109">
        <f t="shared" si="49"/>
        <v>907.85250298992946</v>
      </c>
      <c r="G217" s="189">
        <f t="shared" si="50"/>
        <v>3185.4473789120334</v>
      </c>
      <c r="J217" s="97"/>
    </row>
    <row r="218" spans="1:11" s="94" customFormat="1" x14ac:dyDescent="0.25">
      <c r="A218" s="94">
        <v>3</v>
      </c>
      <c r="B218" s="191">
        <f t="shared" si="46"/>
        <v>1.2166999999999997</v>
      </c>
      <c r="C218" s="94">
        <f t="shared" si="47"/>
        <v>30</v>
      </c>
      <c r="D218" s="119">
        <f t="shared" si="51"/>
        <v>610.63737880070312</v>
      </c>
      <c r="E218" s="109">
        <f t="shared" si="48"/>
        <v>2746.58203125</v>
      </c>
      <c r="F218" s="109">
        <f t="shared" si="49"/>
        <v>1201.7147625157884</v>
      </c>
      <c r="G218" s="189">
        <f t="shared" si="50"/>
        <v>4216.5430263711878</v>
      </c>
      <c r="J218" s="97"/>
    </row>
    <row r="219" spans="1:11" s="94" customFormat="1" x14ac:dyDescent="0.25">
      <c r="A219" s="94">
        <v>4</v>
      </c>
      <c r="B219" s="191">
        <f t="shared" si="46"/>
        <v>1.3992049999999996</v>
      </c>
      <c r="C219" s="94">
        <f t="shared" si="47"/>
        <v>30</v>
      </c>
      <c r="D219" s="119">
        <f t="shared" si="51"/>
        <v>610.63737880070312</v>
      </c>
      <c r="E219" s="109">
        <f t="shared" si="48"/>
        <v>3433.2275390625</v>
      </c>
      <c r="F219" s="109">
        <f t="shared" si="49"/>
        <v>1502.1434531447355</v>
      </c>
      <c r="G219" s="189">
        <f t="shared" si="50"/>
        <v>5270.6787829639843</v>
      </c>
      <c r="J219" s="97"/>
    </row>
    <row r="220" spans="1:11" s="94" customFormat="1" x14ac:dyDescent="0.25">
      <c r="A220" s="94">
        <v>5</v>
      </c>
      <c r="B220" s="191">
        <f t="shared" si="46"/>
        <v>1.6090857499999995</v>
      </c>
      <c r="C220" s="94">
        <f t="shared" si="47"/>
        <v>30</v>
      </c>
      <c r="D220" s="119">
        <f t="shared" si="51"/>
        <v>610.63737880070312</v>
      </c>
      <c r="E220" s="109">
        <f t="shared" si="48"/>
        <v>4291.534423828125</v>
      </c>
      <c r="F220" s="109">
        <f t="shared" si="49"/>
        <v>1877.6793164309195</v>
      </c>
      <c r="G220" s="189">
        <f t="shared" si="50"/>
        <v>6588.3484787049811</v>
      </c>
      <c r="J220" s="97"/>
    </row>
    <row r="221" spans="1:11" s="94" customFormat="1" x14ac:dyDescent="0.25">
      <c r="A221" s="94">
        <v>6</v>
      </c>
      <c r="B221" s="191">
        <f t="shared" si="46"/>
        <v>1.8504486124999993</v>
      </c>
      <c r="C221" s="94">
        <f t="shared" si="47"/>
        <v>30</v>
      </c>
      <c r="D221" s="119">
        <f t="shared" si="51"/>
        <v>610.63737880070312</v>
      </c>
      <c r="E221" s="109">
        <f t="shared" si="48"/>
        <v>5364.4180297851562</v>
      </c>
      <c r="F221" s="109">
        <f t="shared" si="49"/>
        <v>2347.0991455386493</v>
      </c>
      <c r="G221" s="189">
        <f t="shared" si="50"/>
        <v>8235.4355983812256</v>
      </c>
      <c r="J221" s="97"/>
    </row>
    <row r="222" spans="1:11" s="94" customFormat="1" x14ac:dyDescent="0.25">
      <c r="A222" s="94">
        <v>7</v>
      </c>
      <c r="B222" s="191">
        <f t="shared" si="46"/>
        <v>2.1280159043749989</v>
      </c>
      <c r="C222" s="94">
        <f t="shared" si="47"/>
        <v>30</v>
      </c>
      <c r="D222" s="119">
        <f t="shared" si="51"/>
        <v>610.63737880070312</v>
      </c>
      <c r="E222" s="109">
        <f t="shared" si="48"/>
        <v>6705.5225372314453</v>
      </c>
      <c r="F222" s="109">
        <f t="shared" si="49"/>
        <v>2933.8739319233118</v>
      </c>
      <c r="G222" s="189">
        <f t="shared" si="50"/>
        <v>10294.294497976533</v>
      </c>
      <c r="J222" s="97"/>
    </row>
    <row r="223" spans="1:11" s="94" customFormat="1" x14ac:dyDescent="0.25">
      <c r="A223" s="94">
        <v>8</v>
      </c>
      <c r="B223" s="191">
        <f t="shared" si="46"/>
        <v>2.4472182900312482</v>
      </c>
      <c r="C223" s="94">
        <f t="shared" si="47"/>
        <v>31</v>
      </c>
      <c r="D223" s="119">
        <f t="shared" si="51"/>
        <v>546.63737880070312</v>
      </c>
      <c r="E223" s="109">
        <f t="shared" si="48"/>
        <v>8381.9031715393066</v>
      </c>
      <c r="F223" s="109">
        <f t="shared" si="49"/>
        <v>3897.0813804355203</v>
      </c>
      <c r="G223" s="189">
        <f t="shared" si="50"/>
        <v>13673.969755914108</v>
      </c>
      <c r="J223" s="97"/>
    </row>
    <row r="224" spans="1:11" s="94" customFormat="1" x14ac:dyDescent="0.25">
      <c r="A224" s="94">
        <v>9</v>
      </c>
      <c r="B224" s="191">
        <f t="shared" si="46"/>
        <v>2.8143010335359353</v>
      </c>
      <c r="C224" s="94">
        <f t="shared" si="47"/>
        <v>31</v>
      </c>
      <c r="D224" s="119">
        <f t="shared" si="51"/>
        <v>546.63737880070312</v>
      </c>
      <c r="E224" s="109">
        <f t="shared" si="48"/>
        <v>10477.378964424133</v>
      </c>
      <c r="F224" s="109">
        <f t="shared" si="49"/>
        <v>4871.3517255444003</v>
      </c>
      <c r="G224" s="189">
        <f t="shared" si="50"/>
        <v>17092.462194892632</v>
      </c>
      <c r="J224" s="97"/>
    </row>
    <row r="225" spans="1:11" s="94" customFormat="1" x14ac:dyDescent="0.25">
      <c r="A225" s="94">
        <v>10</v>
      </c>
      <c r="B225" s="191">
        <f t="shared" si="46"/>
        <v>3.2364461885663256</v>
      </c>
      <c r="C225" s="94">
        <f t="shared" si="47"/>
        <v>31</v>
      </c>
      <c r="D225" s="119">
        <f t="shared" si="51"/>
        <v>546.63737880070312</v>
      </c>
      <c r="E225" s="109">
        <f t="shared" si="48"/>
        <v>13096.723705530167</v>
      </c>
      <c r="F225" s="109">
        <f t="shared" si="49"/>
        <v>6089.1896569305009</v>
      </c>
      <c r="G225" s="189">
        <f t="shared" si="50"/>
        <v>21365.577743615791</v>
      </c>
      <c r="J225" s="97"/>
    </row>
    <row r="226" spans="1:11" s="94" customFormat="1" x14ac:dyDescent="0.25">
      <c r="A226" s="94">
        <v>11</v>
      </c>
      <c r="B226" s="191">
        <f t="shared" si="46"/>
        <v>3.7219131168512742</v>
      </c>
      <c r="C226" s="94">
        <f t="shared" si="47"/>
        <v>31</v>
      </c>
      <c r="D226" s="119">
        <f t="shared" si="51"/>
        <v>546.63737880070312</v>
      </c>
      <c r="E226" s="109">
        <f t="shared" si="48"/>
        <v>16370.904631912708</v>
      </c>
      <c r="F226" s="109">
        <f t="shared" si="49"/>
        <v>7611.4870711631256</v>
      </c>
      <c r="G226" s="189">
        <f t="shared" si="50"/>
        <v>26706.97217951974</v>
      </c>
      <c r="J226" s="97"/>
    </row>
    <row r="227" spans="1:11" s="94" customFormat="1" x14ac:dyDescent="0.25">
      <c r="A227" s="94">
        <v>12</v>
      </c>
      <c r="B227" s="191">
        <f t="shared" si="46"/>
        <v>4.280200084378964</v>
      </c>
      <c r="C227" s="94">
        <f t="shared" si="47"/>
        <v>31</v>
      </c>
      <c r="D227" s="119">
        <f t="shared" si="51"/>
        <v>546.63737880070312</v>
      </c>
      <c r="E227" s="109">
        <f t="shared" si="48"/>
        <v>20463.630789890885</v>
      </c>
      <c r="F227" s="109">
        <f t="shared" si="49"/>
        <v>9514.3588389539073</v>
      </c>
      <c r="G227" s="189">
        <f t="shared" si="50"/>
        <v>33383.715224399675</v>
      </c>
      <c r="J227" s="97"/>
    </row>
    <row r="228" spans="1:11" s="94" customFormat="1" x14ac:dyDescent="0.25">
      <c r="A228" s="94">
        <v>13</v>
      </c>
      <c r="B228" s="191">
        <f t="shared" si="46"/>
        <v>4.9222300970358095</v>
      </c>
      <c r="C228" s="94">
        <f t="shared" si="47"/>
        <v>32</v>
      </c>
      <c r="D228" s="119">
        <f t="shared" si="51"/>
        <v>482.63737880070312</v>
      </c>
      <c r="E228" s="109">
        <f t="shared" si="48"/>
        <v>25579.538487363607</v>
      </c>
      <c r="F228" s="109">
        <f t="shared" si="49"/>
        <v>12687.767886330956</v>
      </c>
      <c r="G228" s="189">
        <f t="shared" si="50"/>
        <v>44518.483811687562</v>
      </c>
      <c r="J228" s="97"/>
    </row>
    <row r="229" spans="1:11" s="94" customFormat="1" x14ac:dyDescent="0.25">
      <c r="A229" s="94">
        <v>14</v>
      </c>
      <c r="B229" s="191">
        <f t="shared" si="46"/>
        <v>5.6605646115911803</v>
      </c>
      <c r="C229" s="94">
        <f t="shared" si="47"/>
        <v>32</v>
      </c>
      <c r="D229" s="119">
        <f t="shared" si="51"/>
        <v>482.63737880070312</v>
      </c>
      <c r="E229" s="109">
        <f t="shared" si="48"/>
        <v>31974.423109204508</v>
      </c>
      <c r="F229" s="109">
        <f t="shared" si="49"/>
        <v>15859.709857913695</v>
      </c>
      <c r="G229" s="189">
        <f t="shared" si="50"/>
        <v>55648.104764609459</v>
      </c>
      <c r="J229" s="97"/>
    </row>
    <row r="230" spans="1:11" s="94" customFormat="1" x14ac:dyDescent="0.25">
      <c r="A230" s="94">
        <v>15</v>
      </c>
      <c r="B230" s="191">
        <f t="shared" si="46"/>
        <v>6.5096493033298559</v>
      </c>
      <c r="C230" s="94">
        <f t="shared" si="47"/>
        <v>32</v>
      </c>
      <c r="D230" s="119">
        <f t="shared" si="51"/>
        <v>482.63737880070312</v>
      </c>
      <c r="E230" s="109">
        <f t="shared" si="48"/>
        <v>39968.028886505635</v>
      </c>
      <c r="F230" s="109">
        <f t="shared" si="49"/>
        <v>19824.637322392115</v>
      </c>
      <c r="G230" s="189">
        <f t="shared" si="50"/>
        <v>69560.130955761808</v>
      </c>
      <c r="J230" s="97"/>
    </row>
    <row r="231" spans="1:11" s="94" customFormat="1" x14ac:dyDescent="0.25"/>
    <row r="232" spans="1:11" s="94" customFormat="1" x14ac:dyDescent="0.25">
      <c r="A232" s="99" t="s">
        <v>192</v>
      </c>
      <c r="E232" s="187"/>
      <c r="H232" s="187"/>
    </row>
    <row r="233" spans="1:11" s="94" customFormat="1" x14ac:dyDescent="0.25">
      <c r="A233" s="99"/>
      <c r="E233" s="187"/>
      <c r="G233" s="187" t="s">
        <v>187</v>
      </c>
      <c r="H233" s="187"/>
    </row>
    <row r="234" spans="1:11" s="94" customFormat="1" x14ac:dyDescent="0.25">
      <c r="B234" s="187" t="s">
        <v>184</v>
      </c>
      <c r="C234" s="187" t="s">
        <v>107</v>
      </c>
      <c r="D234" s="187" t="s">
        <v>102</v>
      </c>
      <c r="E234" s="187" t="s">
        <v>140</v>
      </c>
      <c r="F234" s="187" t="s">
        <v>30</v>
      </c>
      <c r="G234" s="187" t="s">
        <v>188</v>
      </c>
      <c r="H234" s="187"/>
      <c r="I234" s="187"/>
      <c r="J234" s="187"/>
      <c r="K234" s="187"/>
    </row>
    <row r="235" spans="1:11" s="94" customFormat="1" x14ac:dyDescent="0.25">
      <c r="A235" s="188" t="s">
        <v>7</v>
      </c>
      <c r="B235" s="187" t="s">
        <v>113</v>
      </c>
      <c r="C235" s="187" t="s">
        <v>183</v>
      </c>
      <c r="D235" s="187" t="s">
        <v>103</v>
      </c>
      <c r="E235" s="187" t="s">
        <v>101</v>
      </c>
      <c r="F235" s="187" t="s">
        <v>17</v>
      </c>
      <c r="G235" s="187" t="s">
        <v>32</v>
      </c>
      <c r="H235" s="187"/>
      <c r="I235" s="187"/>
      <c r="J235" s="187"/>
      <c r="K235" s="187"/>
    </row>
    <row r="236" spans="1:11" s="94" customFormat="1" x14ac:dyDescent="0.25">
      <c r="A236" s="94">
        <v>0</v>
      </c>
      <c r="B236" s="191">
        <f t="shared" ref="B236:B251" si="52">memory15*POWER(1+memoryGrowth,A236)*ongoingResourcePercentage15</f>
        <v>0.8</v>
      </c>
      <c r="C236" s="94">
        <f>FLOOR(LOG(B236*1000*1000*1000, 2),1)</f>
        <v>29</v>
      </c>
      <c r="D236" s="119">
        <f>$B$125*32*(LOG((endGameUsers*1000*1000*1000)*utxosPerUserEndGame, 2)-C236)</f>
        <v>674.63737880070312</v>
      </c>
      <c r="E236" s="189">
        <f t="shared" ref="E236:E251" si="53">(throughput15*endGameEmergencyUsage*POWER(1+cpuGrowth,A236))</f>
        <v>3750</v>
      </c>
      <c r="F236" s="109">
        <f t="shared" ref="F236:F251" si="54">E236*secondsPerBlock*(endGameTransactionSize+D236)/1000/1000</f>
        <v>2586.6841023015818</v>
      </c>
      <c r="G236" s="109">
        <f t="shared" ref="G236:G251" si="55">F236*endGameTransactionSize/(endGameTransactionSize+D236)</f>
        <v>1068.75</v>
      </c>
      <c r="H236" s="87"/>
      <c r="I236" s="82"/>
      <c r="J236" s="87"/>
      <c r="K236" s="64"/>
    </row>
    <row r="237" spans="1:11" s="94" customFormat="1" x14ac:dyDescent="0.25">
      <c r="A237" s="94">
        <v>1</v>
      </c>
      <c r="B237" s="191">
        <f t="shared" si="52"/>
        <v>0.91999999999999993</v>
      </c>
      <c r="C237" s="94">
        <f t="shared" ref="C237:C251" si="56">FLOOR(LOG((memory15*1000*1000*1000)*POWER(1+memoryGrowth,A237)*ongoingResourcePercentage15, 2),1)</f>
        <v>29</v>
      </c>
      <c r="D237" s="119">
        <f t="shared" ref="D237:D251" si="57">$B$125*32*(LOG((endGameUsers*1000*1000*1000)*utxosPerUserEndGame, 2)-C237)</f>
        <v>674.63737880070312</v>
      </c>
      <c r="E237" s="189">
        <f t="shared" si="53"/>
        <v>4387.5</v>
      </c>
      <c r="F237" s="109">
        <f t="shared" si="54"/>
        <v>3026.4203996928513</v>
      </c>
      <c r="G237" s="109">
        <f t="shared" si="55"/>
        <v>1250.4375</v>
      </c>
      <c r="H237" s="87"/>
      <c r="I237" s="82"/>
      <c r="J237" s="87"/>
      <c r="K237" s="64"/>
    </row>
    <row r="238" spans="1:11" s="94" customFormat="1" x14ac:dyDescent="0.25">
      <c r="A238" s="94">
        <v>2</v>
      </c>
      <c r="B238" s="191">
        <f t="shared" si="52"/>
        <v>1.0579999999999998</v>
      </c>
      <c r="C238" s="94">
        <f t="shared" si="56"/>
        <v>29</v>
      </c>
      <c r="D238" s="119">
        <f t="shared" si="57"/>
        <v>674.63737880070312</v>
      </c>
      <c r="E238" s="189">
        <f t="shared" si="53"/>
        <v>5133.3749999999991</v>
      </c>
      <c r="F238" s="109">
        <f t="shared" si="54"/>
        <v>3540.9118676406351</v>
      </c>
      <c r="G238" s="109">
        <f t="shared" si="55"/>
        <v>1463.0118749999997</v>
      </c>
      <c r="H238" s="87"/>
      <c r="I238" s="82"/>
      <c r="J238" s="87"/>
      <c r="K238" s="64"/>
    </row>
    <row r="239" spans="1:11" s="94" customFormat="1" x14ac:dyDescent="0.25">
      <c r="A239" s="94">
        <v>3</v>
      </c>
      <c r="B239" s="191">
        <f t="shared" si="52"/>
        <v>1.2166999999999997</v>
      </c>
      <c r="C239" s="94">
        <f t="shared" si="56"/>
        <v>30</v>
      </c>
      <c r="D239" s="119">
        <f t="shared" si="57"/>
        <v>610.63737880070312</v>
      </c>
      <c r="E239" s="189">
        <f t="shared" si="53"/>
        <v>6006.048749999999</v>
      </c>
      <c r="F239" s="109">
        <f t="shared" si="54"/>
        <v>3912.2346131395434</v>
      </c>
      <c r="G239" s="109">
        <f t="shared" si="55"/>
        <v>1711.7238937499999</v>
      </c>
      <c r="H239" s="87"/>
      <c r="I239" s="82"/>
      <c r="J239" s="87"/>
      <c r="K239" s="64"/>
    </row>
    <row r="240" spans="1:11" s="94" customFormat="1" x14ac:dyDescent="0.25">
      <c r="A240" s="94">
        <v>4</v>
      </c>
      <c r="B240" s="191">
        <f t="shared" si="52"/>
        <v>1.3992049999999996</v>
      </c>
      <c r="C240" s="94">
        <f t="shared" si="56"/>
        <v>30</v>
      </c>
      <c r="D240" s="119">
        <f t="shared" si="57"/>
        <v>610.63737880070312</v>
      </c>
      <c r="E240" s="189">
        <f t="shared" si="53"/>
        <v>7027.0770374999984</v>
      </c>
      <c r="F240" s="109">
        <f t="shared" si="54"/>
        <v>4577.3144973732651</v>
      </c>
      <c r="G240" s="109">
        <f t="shared" si="55"/>
        <v>2002.7169556874994</v>
      </c>
      <c r="H240" s="87"/>
      <c r="I240" s="82"/>
      <c r="J240" s="87"/>
      <c r="K240" s="64"/>
    </row>
    <row r="241" spans="1:12" s="94" customFormat="1" x14ac:dyDescent="0.25">
      <c r="A241" s="94">
        <v>5</v>
      </c>
      <c r="B241" s="191">
        <f t="shared" si="52"/>
        <v>1.6090857499999995</v>
      </c>
      <c r="C241" s="94">
        <f t="shared" si="56"/>
        <v>30</v>
      </c>
      <c r="D241" s="119">
        <f t="shared" si="57"/>
        <v>610.63737880070312</v>
      </c>
      <c r="E241" s="189">
        <f t="shared" si="53"/>
        <v>8221.6801338749974</v>
      </c>
      <c r="F241" s="109">
        <f t="shared" si="54"/>
        <v>5355.4579619267197</v>
      </c>
      <c r="G241" s="109">
        <f t="shared" si="55"/>
        <v>2343.1788381543743</v>
      </c>
      <c r="H241" s="87"/>
      <c r="I241" s="82"/>
      <c r="J241" s="87"/>
      <c r="K241" s="64"/>
    </row>
    <row r="242" spans="1:12" s="94" customFormat="1" x14ac:dyDescent="0.25">
      <c r="A242" s="94">
        <v>6</v>
      </c>
      <c r="B242" s="191">
        <f t="shared" si="52"/>
        <v>1.8504486124999993</v>
      </c>
      <c r="C242" s="94">
        <f t="shared" si="56"/>
        <v>30</v>
      </c>
      <c r="D242" s="119">
        <f t="shared" si="57"/>
        <v>610.63737880070312</v>
      </c>
      <c r="E242" s="189">
        <f t="shared" si="53"/>
        <v>9619.3657566337461</v>
      </c>
      <c r="F242" s="109">
        <f t="shared" si="54"/>
        <v>6265.8858154542604</v>
      </c>
      <c r="G242" s="109">
        <f t="shared" si="55"/>
        <v>2741.5192406406172</v>
      </c>
      <c r="H242" s="87"/>
      <c r="I242" s="82"/>
      <c r="J242" s="87"/>
      <c r="K242" s="64"/>
    </row>
    <row r="243" spans="1:12" s="94" customFormat="1" x14ac:dyDescent="0.25">
      <c r="A243" s="94">
        <v>7</v>
      </c>
      <c r="B243" s="191">
        <f t="shared" si="52"/>
        <v>2.1280159043749989</v>
      </c>
      <c r="C243" s="94">
        <f t="shared" si="56"/>
        <v>30</v>
      </c>
      <c r="D243" s="119">
        <f t="shared" si="57"/>
        <v>610.63737880070312</v>
      </c>
      <c r="E243" s="189">
        <f t="shared" si="53"/>
        <v>11254.657935261483</v>
      </c>
      <c r="F243" s="109">
        <f t="shared" si="54"/>
        <v>7331.0864040814859</v>
      </c>
      <c r="G243" s="109">
        <f t="shared" si="55"/>
        <v>3207.5775115495226</v>
      </c>
      <c r="H243" s="87"/>
      <c r="I243" s="82"/>
      <c r="J243" s="87"/>
      <c r="K243" s="64"/>
    </row>
    <row r="244" spans="1:12" s="94" customFormat="1" x14ac:dyDescent="0.25">
      <c r="A244" s="94">
        <v>8</v>
      </c>
      <c r="B244" s="191">
        <f t="shared" si="52"/>
        <v>2.4472182900312482</v>
      </c>
      <c r="C244" s="94">
        <f t="shared" si="56"/>
        <v>31</v>
      </c>
      <c r="D244" s="119">
        <f t="shared" si="57"/>
        <v>546.63737880070312</v>
      </c>
      <c r="E244" s="189">
        <f t="shared" si="53"/>
        <v>13167.949784255932</v>
      </c>
      <c r="F244" s="109">
        <f t="shared" si="54"/>
        <v>8071.7218210599085</v>
      </c>
      <c r="G244" s="109">
        <f t="shared" si="55"/>
        <v>3752.8656885129403</v>
      </c>
      <c r="H244" s="87"/>
      <c r="I244" s="82"/>
      <c r="J244" s="87"/>
      <c r="K244" s="64"/>
    </row>
    <row r="245" spans="1:12" s="94" customFormat="1" x14ac:dyDescent="0.25">
      <c r="A245" s="94">
        <v>9</v>
      </c>
      <c r="B245" s="191">
        <f t="shared" si="52"/>
        <v>2.8143010335359353</v>
      </c>
      <c r="C245" s="94">
        <f t="shared" si="56"/>
        <v>31</v>
      </c>
      <c r="D245" s="119">
        <f t="shared" si="57"/>
        <v>546.63737880070312</v>
      </c>
      <c r="E245" s="189">
        <f t="shared" si="53"/>
        <v>15406.501247579437</v>
      </c>
      <c r="F245" s="109">
        <f t="shared" si="54"/>
        <v>9443.9145306400915</v>
      </c>
      <c r="G245" s="109">
        <f t="shared" si="55"/>
        <v>4390.8528555601397</v>
      </c>
      <c r="I245" s="82"/>
      <c r="J245" s="87"/>
      <c r="K245" s="64"/>
    </row>
    <row r="246" spans="1:12" s="94" customFormat="1" x14ac:dyDescent="0.25">
      <c r="A246" s="94">
        <v>10</v>
      </c>
      <c r="B246" s="191">
        <f t="shared" si="52"/>
        <v>3.2364461885663256</v>
      </c>
      <c r="C246" s="94">
        <f t="shared" si="56"/>
        <v>31</v>
      </c>
      <c r="D246" s="119">
        <f t="shared" si="57"/>
        <v>546.63737880070312</v>
      </c>
      <c r="E246" s="189">
        <f t="shared" si="53"/>
        <v>18025.606459667946</v>
      </c>
      <c r="F246" s="109">
        <f t="shared" si="54"/>
        <v>11049.380000848911</v>
      </c>
      <c r="G246" s="109">
        <f t="shared" si="55"/>
        <v>5137.2978410053656</v>
      </c>
      <c r="I246" s="82"/>
      <c r="J246" s="87"/>
      <c r="K246" s="64"/>
    </row>
    <row r="247" spans="1:12" s="94" customFormat="1" x14ac:dyDescent="0.25">
      <c r="A247" s="94">
        <v>11</v>
      </c>
      <c r="B247" s="191">
        <f t="shared" si="52"/>
        <v>3.7219131168512742</v>
      </c>
      <c r="C247" s="94">
        <f t="shared" si="56"/>
        <v>31</v>
      </c>
      <c r="D247" s="119">
        <f t="shared" si="57"/>
        <v>546.63737880070312</v>
      </c>
      <c r="E247" s="189">
        <f t="shared" si="53"/>
        <v>21089.959557811493</v>
      </c>
      <c r="F247" s="109">
        <f t="shared" si="54"/>
        <v>12927.774600993222</v>
      </c>
      <c r="G247" s="109">
        <f t="shared" si="55"/>
        <v>6010.6384739762761</v>
      </c>
      <c r="K247" s="64"/>
    </row>
    <row r="248" spans="1:12" s="94" customFormat="1" x14ac:dyDescent="0.25">
      <c r="A248" s="94">
        <v>12</v>
      </c>
      <c r="B248" s="191">
        <f t="shared" si="52"/>
        <v>4.280200084378964</v>
      </c>
      <c r="C248" s="94">
        <f t="shared" si="56"/>
        <v>31</v>
      </c>
      <c r="D248" s="119">
        <f t="shared" si="57"/>
        <v>546.63737880070312</v>
      </c>
      <c r="E248" s="189">
        <f t="shared" si="53"/>
        <v>24675.252682639442</v>
      </c>
      <c r="F248" s="109">
        <f t="shared" si="54"/>
        <v>15125.496283162065</v>
      </c>
      <c r="G248" s="109">
        <f t="shared" si="55"/>
        <v>7032.4470145522409</v>
      </c>
      <c r="H248" s="87"/>
      <c r="K248" s="64"/>
    </row>
    <row r="249" spans="1:12" s="94" customFormat="1" x14ac:dyDescent="0.25">
      <c r="A249" s="94">
        <v>13</v>
      </c>
      <c r="B249" s="191">
        <f t="shared" si="52"/>
        <v>4.9222300970358095</v>
      </c>
      <c r="C249" s="94">
        <f t="shared" si="56"/>
        <v>32</v>
      </c>
      <c r="D249" s="119">
        <f t="shared" si="57"/>
        <v>482.63737880070312</v>
      </c>
      <c r="E249" s="189">
        <f t="shared" si="53"/>
        <v>28870.045638688145</v>
      </c>
      <c r="F249" s="109">
        <f t="shared" si="54"/>
        <v>16588.22089877399</v>
      </c>
      <c r="G249" s="109">
        <f t="shared" si="55"/>
        <v>8227.963007026121</v>
      </c>
      <c r="H249" s="87"/>
      <c r="K249" s="64"/>
    </row>
    <row r="250" spans="1:12" s="94" customFormat="1" x14ac:dyDescent="0.25">
      <c r="A250" s="94">
        <v>14</v>
      </c>
      <c r="B250" s="191">
        <f t="shared" si="52"/>
        <v>5.6605646115911803</v>
      </c>
      <c r="C250" s="94">
        <f t="shared" si="56"/>
        <v>32</v>
      </c>
      <c r="D250" s="119">
        <f t="shared" si="57"/>
        <v>482.63737880070312</v>
      </c>
      <c r="E250" s="189">
        <f t="shared" si="53"/>
        <v>33777.953397265133</v>
      </c>
      <c r="F250" s="109">
        <f t="shared" si="54"/>
        <v>19408.218451565572</v>
      </c>
      <c r="G250" s="109">
        <f t="shared" si="55"/>
        <v>9626.7167182205631</v>
      </c>
      <c r="H250" s="87"/>
      <c r="K250" s="64"/>
    </row>
    <row r="251" spans="1:12" s="94" customFormat="1" x14ac:dyDescent="0.25">
      <c r="A251" s="94">
        <v>15</v>
      </c>
      <c r="B251" s="191">
        <f t="shared" si="52"/>
        <v>6.5096493033298559</v>
      </c>
      <c r="C251" s="94">
        <f t="shared" si="56"/>
        <v>32</v>
      </c>
      <c r="D251" s="119">
        <f t="shared" si="57"/>
        <v>482.63737880070312</v>
      </c>
      <c r="E251" s="189">
        <f t="shared" si="53"/>
        <v>39520.205474800197</v>
      </c>
      <c r="F251" s="109">
        <f t="shared" si="54"/>
        <v>22707.615588331715</v>
      </c>
      <c r="G251" s="109">
        <f t="shared" si="55"/>
        <v>11263.258560318058</v>
      </c>
      <c r="H251" s="87"/>
      <c r="I251" s="82"/>
      <c r="J251" s="87"/>
      <c r="K251" s="64"/>
    </row>
    <row r="252" spans="1:12" s="94" customFormat="1" x14ac:dyDescent="0.25"/>
    <row r="253" spans="1:12" s="94" customFormat="1" x14ac:dyDescent="0.25">
      <c r="A253" s="11" t="s">
        <v>167</v>
      </c>
      <c r="B253" s="39"/>
      <c r="C253" s="7"/>
      <c r="D253" s="90"/>
      <c r="E253" s="39"/>
    </row>
    <row r="254" spans="1:12" s="94" customFormat="1" x14ac:dyDescent="0.25">
      <c r="A254" s="11"/>
      <c r="G254" s="102" t="s">
        <v>76</v>
      </c>
      <c r="H254" s="102" t="s">
        <v>75</v>
      </c>
    </row>
    <row r="255" spans="1:12" s="94" customFormat="1" x14ac:dyDescent="0.25">
      <c r="A255" s="96" t="s">
        <v>129</v>
      </c>
      <c r="C255" s="102" t="s">
        <v>2</v>
      </c>
      <c r="D255" s="102" t="s">
        <v>3</v>
      </c>
      <c r="F255" s="102" t="s">
        <v>139</v>
      </c>
      <c r="G255" s="102" t="s">
        <v>57</v>
      </c>
      <c r="H255" s="102" t="s">
        <v>57</v>
      </c>
    </row>
    <row r="256" spans="1:12" s="94" customFormat="1" x14ac:dyDescent="0.25">
      <c r="A256" s="130" t="str">
        <f>$A$3</f>
        <v>1st %ile</v>
      </c>
      <c r="B256" s="124">
        <f>$B$3</f>
        <v>1000</v>
      </c>
      <c r="C256" s="125">
        <f>$C$3</f>
        <v>10000</v>
      </c>
      <c r="D256" s="125">
        <f>$D$3</f>
        <v>20</v>
      </c>
      <c r="E256" s="126">
        <f>$E$3</f>
        <v>20000</v>
      </c>
      <c r="F256" s="139">
        <f>$F$3</f>
        <v>90</v>
      </c>
      <c r="G256" s="81">
        <f>$G$3</f>
        <v>14</v>
      </c>
      <c r="H256" s="81">
        <f>$H$3</f>
        <v>140</v>
      </c>
      <c r="I256" s="127">
        <f>$I$3</f>
        <v>7</v>
      </c>
      <c r="J256" s="127">
        <f>$J$3</f>
        <v>60</v>
      </c>
      <c r="K256" s="128">
        <f>$K$3</f>
        <v>0.75</v>
      </c>
      <c r="L256" s="128">
        <f>$L$3</f>
        <v>0.1</v>
      </c>
    </row>
    <row r="257" spans="1:12" s="94" customFormat="1" x14ac:dyDescent="0.25">
      <c r="A257" s="96" t="s">
        <v>81</v>
      </c>
      <c r="B257" s="124">
        <f>$B$4</f>
        <v>50</v>
      </c>
      <c r="C257" s="125">
        <f>$C$4</f>
        <v>1000</v>
      </c>
      <c r="D257" s="125">
        <f>$D$4</f>
        <v>8</v>
      </c>
      <c r="E257" s="126">
        <f>$E$4</f>
        <v>5000</v>
      </c>
      <c r="F257" s="139">
        <f>$F$4</f>
        <v>130</v>
      </c>
      <c r="G257" s="81">
        <f>$G$4</f>
        <v>14</v>
      </c>
      <c r="H257" s="81">
        <f>$H$4</f>
        <v>140</v>
      </c>
      <c r="I257" s="127">
        <f>$I$4</f>
        <v>7</v>
      </c>
      <c r="J257" s="127">
        <f>$J$4</f>
        <v>60</v>
      </c>
      <c r="K257" s="128">
        <f>$K$4</f>
        <v>0.5</v>
      </c>
      <c r="L257" s="128">
        <f>$L$4</f>
        <v>0.1</v>
      </c>
    </row>
    <row r="258" spans="1:12" s="94" customFormat="1" x14ac:dyDescent="0.25">
      <c r="A258" s="130" t="str">
        <f>$A$5</f>
        <v>90th %ile</v>
      </c>
      <c r="B258" s="124">
        <f>$B$5</f>
        <v>1</v>
      </c>
      <c r="C258" s="125">
        <f>$C$5</f>
        <v>128</v>
      </c>
      <c r="D258" s="125">
        <f>$D$5</f>
        <v>2</v>
      </c>
      <c r="E258" s="126">
        <f>$E$5</f>
        <v>200</v>
      </c>
      <c r="F258" s="139">
        <f>$F$5</f>
        <v>250</v>
      </c>
      <c r="G258" s="81">
        <f>$G$5</f>
        <v>14</v>
      </c>
      <c r="H258" s="81">
        <f>$H$5</f>
        <v>0</v>
      </c>
      <c r="I258" s="127">
        <f>$I$5</f>
        <v>7</v>
      </c>
      <c r="J258" s="127">
        <f>$J$5</f>
        <v>60</v>
      </c>
      <c r="K258" s="128">
        <f>$K$5</f>
        <v>0.75</v>
      </c>
      <c r="L258" s="128">
        <f>$L$5</f>
        <v>0.1</v>
      </c>
    </row>
    <row r="259" spans="1:12" s="94" customFormat="1" x14ac:dyDescent="0.25">
      <c r="B259" s="39"/>
      <c r="C259" s="7"/>
      <c r="D259" s="90"/>
      <c r="E259" s="39"/>
    </row>
    <row r="260" spans="1:12" s="94" customFormat="1" x14ac:dyDescent="0.25">
      <c r="A260"/>
      <c r="C260" s="195" t="s">
        <v>162</v>
      </c>
      <c r="E260" s="167" t="s">
        <v>134</v>
      </c>
      <c r="F260" s="167" t="s">
        <v>177</v>
      </c>
      <c r="G260"/>
      <c r="J260" s="167" t="s">
        <v>132</v>
      </c>
      <c r="K260" s="195" t="s">
        <v>132</v>
      </c>
    </row>
    <row r="261" spans="1:12" s="94" customFormat="1" x14ac:dyDescent="0.25">
      <c r="B261" s="167" t="s">
        <v>169</v>
      </c>
      <c r="C261" s="195" t="s">
        <v>196</v>
      </c>
      <c r="D261" s="167" t="s">
        <v>138</v>
      </c>
      <c r="E261" s="167" t="s">
        <v>136</v>
      </c>
      <c r="F261" s="167" t="s">
        <v>178</v>
      </c>
      <c r="G261" s="167" t="s">
        <v>161</v>
      </c>
      <c r="H261" s="167" t="s">
        <v>180</v>
      </c>
      <c r="I261" s="167" t="s">
        <v>132</v>
      </c>
      <c r="J261" s="167" t="s">
        <v>170</v>
      </c>
      <c r="K261" s="195" t="s">
        <v>170</v>
      </c>
    </row>
    <row r="262" spans="1:12" s="94" customFormat="1" x14ac:dyDescent="0.25">
      <c r="B262" s="167" t="s">
        <v>104</v>
      </c>
      <c r="C262" s="195" t="s">
        <v>197</v>
      </c>
      <c r="D262" s="167" t="s">
        <v>46</v>
      </c>
      <c r="E262" s="167" t="s">
        <v>137</v>
      </c>
      <c r="F262" s="167" t="s">
        <v>179</v>
      </c>
      <c r="G262" s="131" t="s">
        <v>162</v>
      </c>
      <c r="H262" s="167" t="s">
        <v>57</v>
      </c>
      <c r="I262" s="167" t="s">
        <v>135</v>
      </c>
      <c r="J262" s="167" t="s">
        <v>1</v>
      </c>
      <c r="K262" s="195" t="s">
        <v>195</v>
      </c>
    </row>
    <row r="263" spans="1:12" s="94" customFormat="1" x14ac:dyDescent="0.25">
      <c r="B263" s="181">
        <v>8</v>
      </c>
      <c r="C263" s="100">
        <v>0.9</v>
      </c>
      <c r="D263" s="133">
        <v>0.25</v>
      </c>
      <c r="E263" s="136">
        <v>1E-3</v>
      </c>
      <c r="F263" s="101">
        <v>0.5</v>
      </c>
      <c r="G263" s="100">
        <v>0.5</v>
      </c>
      <c r="H263" s="168">
        <f>(1-sybilPercentb)*(privateConnections10thc+publicConnections10thc)</f>
        <v>77</v>
      </c>
      <c r="I263" s="169">
        <f>LOG(futureUsers*percentSPVNodes*1000*1000*1000)/LOG(H263/2)</f>
        <v>6.2173299615482014</v>
      </c>
      <c r="J263" s="134">
        <f>B257</f>
        <v>50</v>
      </c>
      <c r="K263" s="126">
        <f>Throughput10thP2</f>
        <v>5000</v>
      </c>
    </row>
    <row r="264" spans="1:12" s="94" customFormat="1" x14ac:dyDescent="0.25">
      <c r="C264" s="7"/>
      <c r="D264" s="90"/>
      <c r="E264" s="39"/>
    </row>
    <row r="265" spans="1:12" s="94" customFormat="1" x14ac:dyDescent="0.25">
      <c r="B265" s="131" t="s">
        <v>151</v>
      </c>
      <c r="D265" s="167" t="s">
        <v>140</v>
      </c>
      <c r="E265" s="167" t="s">
        <v>140</v>
      </c>
      <c r="G265" s="187" t="s">
        <v>187</v>
      </c>
      <c r="I265" s="90"/>
      <c r="J265" s="39"/>
      <c r="K265" s="102" t="s">
        <v>152</v>
      </c>
    </row>
    <row r="266" spans="1:12" s="94" customFormat="1" x14ac:dyDescent="0.25">
      <c r="B266" s="167" t="s">
        <v>152</v>
      </c>
      <c r="C266" s="131" t="s">
        <v>141</v>
      </c>
      <c r="D266" s="167" t="s">
        <v>32</v>
      </c>
      <c r="E266" s="167" t="s">
        <v>32</v>
      </c>
      <c r="F266" s="167" t="s">
        <v>140</v>
      </c>
      <c r="G266" s="187" t="s">
        <v>188</v>
      </c>
      <c r="H266" s="167" t="s">
        <v>30</v>
      </c>
      <c r="I266" s="131" t="s">
        <v>141</v>
      </c>
      <c r="J266" s="131" t="s">
        <v>141</v>
      </c>
      <c r="K266" s="102" t="s">
        <v>176</v>
      </c>
    </row>
    <row r="267" spans="1:12" s="94" customFormat="1" x14ac:dyDescent="0.25">
      <c r="A267" s="166" t="s">
        <v>7</v>
      </c>
      <c r="B267" s="167" t="s">
        <v>153</v>
      </c>
      <c r="C267" s="167" t="s">
        <v>144</v>
      </c>
      <c r="D267" s="167" t="s">
        <v>171</v>
      </c>
      <c r="E267" s="167" t="s">
        <v>172</v>
      </c>
      <c r="F267" s="167" t="s">
        <v>32</v>
      </c>
      <c r="G267" s="187" t="s">
        <v>32</v>
      </c>
      <c r="H267" s="167" t="s">
        <v>68</v>
      </c>
      <c r="I267" s="167" t="s">
        <v>143</v>
      </c>
      <c r="J267" s="167" t="s">
        <v>142</v>
      </c>
      <c r="K267" s="183" t="s">
        <v>175</v>
      </c>
    </row>
    <row r="268" spans="1:12" s="94" customFormat="1" x14ac:dyDescent="0.25">
      <c r="A268" s="94">
        <v>0</v>
      </c>
      <c r="B268" s="137">
        <f t="shared" ref="B268:B283" si="58">secondsPerBlock*maximumMinerAdvantage2/targetMinerPercentHashpower2</f>
        <v>2.4</v>
      </c>
      <c r="C268" s="176">
        <f>(((avgHops20-1)*minLastMileLatency) + ((avgHops20-1)*proximityFavoringFactor2*(Latency1stP2-minLastMileLatency)+(Latency10thP2-minLastMileLatency))*(1-(1-POWER(1+latencyGrowth,A268))))/1000</f>
        <v>0.38890982298128057</v>
      </c>
      <c r="D268" s="109">
        <f>(B268 - C268)*(avgLowRelayBandwidth*ongoingResourcePercent10thP2*POWER(1+bandwidthGrowth,A268)*mbToGB*1000)/(compactBlockCompactedness+missingTransactionRate)</f>
        <v>66.154282138773667</v>
      </c>
      <c r="E268" s="109">
        <f>(B268 - C268)*(avgTrSize+D236)*(avgLowRelayVerification*ongoingResourcePercent10thP2*POWER(1+cpuGrowth,A268))/missingTransactionRate/1000/1000</f>
        <v>115.60122198198215</v>
      </c>
      <c r="F268" s="109">
        <f>MIN(D268,E268)</f>
        <v>66.154282138773667</v>
      </c>
      <c r="G268" s="109">
        <f t="shared" ref="G268:G283" si="59">F268*endGameTransactionSize/(endGameTransactionSize+D236)</f>
        <v>27.333213581397406</v>
      </c>
      <c r="H268" s="6">
        <f>G268*1000*1000/secondsPerBlock/avgTrSize</f>
        <v>95.906012566306686</v>
      </c>
      <c r="I268" s="140">
        <f>F268*(missingTransactionRate+compactBlockCompactedness)/(avgLowRelayBandwidth*ongoingResourcePercent10thP2*POWER(1+bandwidthGrowth,A268)*mbToGB*1000)</f>
        <v>2.0110901770187195</v>
      </c>
      <c r="J268" s="141">
        <f>(G268*missingTransactionRate*1000*1000/avgTrSize)/(avgLowRelayVerification*ongoingResourcePercent10thP2*POWER(1+cpuGrowth,A268))</f>
        <v>1.1508721507956803</v>
      </c>
      <c r="K268" s="184">
        <f t="shared" ref="K268:K282" si="60">MAX(I268,J268)+C268</f>
        <v>2.4</v>
      </c>
    </row>
    <row r="269" spans="1:12" s="94" customFormat="1" x14ac:dyDescent="0.25">
      <c r="A269" s="94">
        <v>1</v>
      </c>
      <c r="B269" s="137">
        <f t="shared" si="58"/>
        <v>2.4</v>
      </c>
      <c r="C269" s="176">
        <f t="shared" ref="C268:C283" si="61">(((avgHops20-1)*minLastMileLatency) + ((avgHops20-1)*proximityFavoringFactor2*(Latency1stP2-minLastMileLatency)+(Latency10thP2-minLastMileLatency))*(1-(1-POWER(1+latencyGrowth,A269))))/1000</f>
        <v>0.3795903267745388</v>
      </c>
      <c r="D269" s="109">
        <f>(B269 - C269)*(avgLowRelayBandwidth*ongoingResourcePercent10thP2*POWER(1+bandwidthGrowth,A269)*mbToGB*1000)/(compactBlockCompactedness+missingTransactionRate)</f>
        <v>83.076055642494282</v>
      </c>
      <c r="E269" s="109">
        <f>(B269 - C269)*(avgTrSize+D237)*(avgLowRelayVerification*ongoingResourcePercent10thP2*POWER(1+cpuGrowth,A269))/missingTransactionRate/1000/1000</f>
        <v>135.8802011285845</v>
      </c>
      <c r="F269" s="109">
        <f t="shared" ref="F269:F283" si="62">MIN(D269,E269)</f>
        <v>83.076055642494282</v>
      </c>
      <c r="G269" s="109">
        <f t="shared" si="59"/>
        <v>34.324846388824334</v>
      </c>
      <c r="H269" s="6">
        <f t="shared" ref="H268:H283" si="63">G269*1000*1000/secondsPerBlock/avgTrSize</f>
        <v>120.43805750464679</v>
      </c>
      <c r="I269" s="140">
        <f>F269*(missingTransactionRate+compactBlockCompactedness)/(avgLowRelayBandwidth*ongoingResourcePercent10thP2*POWER(1+bandwidthGrowth,A269)*mbToGB*1000)</f>
        <v>2.0204096732254611</v>
      </c>
      <c r="J269" s="141">
        <f>(G269*missingTransactionRate*1000*1000/avgTrSize)/(avgLowRelayVerification*ongoingResourcePercent10thP2*POWER(1+cpuGrowth,A269))</f>
        <v>1.2352621282527874</v>
      </c>
      <c r="K269" s="184">
        <f t="shared" si="60"/>
        <v>2.4</v>
      </c>
    </row>
    <row r="270" spans="1:12" s="94" customFormat="1" x14ac:dyDescent="0.25">
      <c r="A270" s="94">
        <v>2</v>
      </c>
      <c r="B270" s="137">
        <f t="shared" si="58"/>
        <v>2.4</v>
      </c>
      <c r="C270" s="176">
        <f t="shared" si="61"/>
        <v>0.37055041545399936</v>
      </c>
      <c r="D270" s="109">
        <f>(B270 - C270)*(avgLowRelayBandwidth*ongoingResourcePercent10thP2*POWER(1+bandwidthGrowth,A270)*mbToGB*1000)/(compactBlockCompactedness+missingTransactionRate)</f>
        <v>104.30970315306335</v>
      </c>
      <c r="E270" s="109">
        <f>(B270 - C270)*(avgTrSize+D238)*(avgLowRelayVerification*ongoingResourcePercent10thP2*POWER(1+cpuGrowth,A270))/missingTransactionRate/1000/1000</f>
        <v>159.69115819327311</v>
      </c>
      <c r="F270" s="109">
        <f t="shared" si="62"/>
        <v>104.30970315306335</v>
      </c>
      <c r="G270" s="109">
        <f t="shared" si="59"/>
        <v>43.098032398174482</v>
      </c>
      <c r="H270" s="6">
        <f t="shared" si="63"/>
        <v>151.22116630938413</v>
      </c>
      <c r="I270" s="140">
        <f>F270*(missingTransactionRate+compactBlockCompactedness)/(avgLowRelayBandwidth*ongoingResourcePercent10thP2*POWER(1+bandwidthGrowth,A270)*mbToGB*1000)</f>
        <v>2.0294495845460006</v>
      </c>
      <c r="J270" s="141">
        <f>(G270*missingTransactionRate*1000*1000/avgTrSize)/(avgLowRelayVerification*ongoingResourcePercent10thP2*POWER(1+cpuGrowth,A270))</f>
        <v>1.3256293342922125</v>
      </c>
      <c r="K270" s="184">
        <f t="shared" si="60"/>
        <v>2.4</v>
      </c>
    </row>
    <row r="271" spans="1:12" s="94" customFormat="1" x14ac:dyDescent="0.25">
      <c r="A271" s="94">
        <v>3</v>
      </c>
      <c r="B271" s="137">
        <f t="shared" si="58"/>
        <v>2.4</v>
      </c>
      <c r="C271" s="176">
        <f t="shared" si="61"/>
        <v>0.36178170147307603</v>
      </c>
      <c r="D271" s="109">
        <f>(B271 - C271)*(avgLowRelayBandwidth*ongoingResourcePercent10thP2*POWER(1+bandwidthGrowth,A271)*mbToGB*1000)/(compactBlockCompactedness+missingTransactionRate)</f>
        <v>130.95049718126307</v>
      </c>
      <c r="E271" s="109">
        <f>(B271 - C271)*(avgTrSize+D239)*(avgLowRelayVerification*ongoingResourcePercent10thP2*POWER(1+cpuGrowth,A271))/missingTransactionRate/1000/1000</f>
        <v>177.19973725847595</v>
      </c>
      <c r="F271" s="109">
        <f t="shared" si="62"/>
        <v>130.95049718126307</v>
      </c>
      <c r="G271" s="109">
        <f t="shared" si="59"/>
        <v>57.294901019172308</v>
      </c>
      <c r="H271" s="6">
        <f t="shared" si="63"/>
        <v>201.03474041814843</v>
      </c>
      <c r="I271" s="140">
        <f>F271*(missingTransactionRate+compactBlockCompactedness)/(avgLowRelayBandwidth*ongoingResourcePercent10thP2*POWER(1+bandwidthGrowth,A271)*mbToGB*1000)</f>
        <v>2.0382182985269237</v>
      </c>
      <c r="J271" s="141">
        <f>(G271*missingTransactionRate*1000*1000/avgTrSize)/(avgLowRelayVerification*ongoingResourcePercent10thP2*POWER(1+cpuGrowth,A271))</f>
        <v>1.5062420728464254</v>
      </c>
      <c r="K271" s="184">
        <f t="shared" si="60"/>
        <v>2.4</v>
      </c>
    </row>
    <row r="272" spans="1:12" s="94" customFormat="1" x14ac:dyDescent="0.25">
      <c r="A272" s="94">
        <v>4</v>
      </c>
      <c r="B272" s="137">
        <f t="shared" si="58"/>
        <v>2.4</v>
      </c>
      <c r="C272" s="176">
        <f t="shared" si="61"/>
        <v>0.35327604891158049</v>
      </c>
      <c r="D272" s="109">
        <f>(B272 - C272)*(avgLowRelayBandwidth*ongoingResourcePercent10thP2*POWER(1+bandwidthGrowth,A272)*mbToGB*1000)/(compactBlockCompactedness+missingTransactionRate)</f>
        <v>164.37120546749875</v>
      </c>
      <c r="E272" s="109">
        <f>(B272 - C272)*(avgTrSize+D240)*(avgLowRelayVerification*ongoingResourcePercent10thP2*POWER(1+cpuGrowth,A272))/missingTransactionRate/1000/1000</f>
        <v>208.18887140973581</v>
      </c>
      <c r="F272" s="109">
        <f t="shared" si="62"/>
        <v>164.37120546749875</v>
      </c>
      <c r="G272" s="109">
        <f t="shared" si="59"/>
        <v>71.917496690573003</v>
      </c>
      <c r="H272" s="6">
        <f t="shared" si="63"/>
        <v>252.34209365113333</v>
      </c>
      <c r="I272" s="140">
        <f>F272*(missingTransactionRate+compactBlockCompactedness)/(avgLowRelayBandwidth*ongoingResourcePercent10thP2*POWER(1+bandwidthGrowth,A272)*mbToGB*1000)</f>
        <v>2.0467239510884196</v>
      </c>
      <c r="J272" s="141">
        <f>(G272*missingTransactionRate*1000*1000/avgTrSize)/(avgLowRelayVerification*ongoingResourcePercent10thP2*POWER(1+cpuGrowth,A272))</f>
        <v>1.6159484453782043</v>
      </c>
      <c r="K272" s="184">
        <f t="shared" si="60"/>
        <v>2.4000000000000004</v>
      </c>
    </row>
    <row r="273" spans="1:11" s="94" customFormat="1" x14ac:dyDescent="0.25">
      <c r="A273" s="94">
        <v>5</v>
      </c>
      <c r="B273" s="137">
        <f t="shared" si="58"/>
        <v>2.4</v>
      </c>
      <c r="C273" s="176">
        <f t="shared" si="61"/>
        <v>0.34502556592692973</v>
      </c>
      <c r="D273" s="109">
        <f>(B273 - C273)*(avgLowRelayBandwidth*ongoingResourcePercent10thP2*POWER(1+bandwidthGrowth,A273)*mbToGB*1000)/(compactBlockCompactedness+missingTransactionRate)</f>
        <v>206.29224617336374</v>
      </c>
      <c r="E273" s="109">
        <f>(B273 - C273)*(avgTrSize+D241)*(avgLowRelayVerification*ongoingResourcePercent10thP2*POWER(1+cpuGrowth,A273))/missingTransactionRate/1000/1000</f>
        <v>244.56287098916613</v>
      </c>
      <c r="F273" s="109">
        <f t="shared" si="62"/>
        <v>206.29224617336374</v>
      </c>
      <c r="G273" s="109">
        <f t="shared" si="59"/>
        <v>90.259251243352935</v>
      </c>
      <c r="H273" s="6">
        <f t="shared" si="63"/>
        <v>316.69912716965945</v>
      </c>
      <c r="I273" s="140">
        <f>F273*(missingTransactionRate+compactBlockCompactedness)/(avgLowRelayBandwidth*ongoingResourcePercent10thP2*POWER(1+bandwidthGrowth,A273)*mbToGB*1000)</f>
        <v>2.05497443407307</v>
      </c>
      <c r="J273" s="141">
        <f>(G273*missingTransactionRate*1000*1000/avgTrSize)/(avgLowRelayVerification*ongoingResourcePercent10thP2*POWER(1+cpuGrowth,A273))</f>
        <v>1.7334000460460328</v>
      </c>
      <c r="K273" s="184">
        <f t="shared" si="60"/>
        <v>2.4</v>
      </c>
    </row>
    <row r="274" spans="1:11" s="94" customFormat="1" x14ac:dyDescent="0.25">
      <c r="A274" s="94">
        <v>6</v>
      </c>
      <c r="B274" s="137">
        <f t="shared" si="58"/>
        <v>2.4</v>
      </c>
      <c r="C274" s="176">
        <f t="shared" si="61"/>
        <v>0.33702259743181856</v>
      </c>
      <c r="D274" s="109">
        <f>(B274 - C274)*(avgLowRelayBandwidth*ongoingResourcePercent10thP2*POWER(1+bandwidthGrowth,A274)*mbToGB*1000)/(compactBlockCompactedness+missingTransactionRate)</f>
        <v>258.8695479152305</v>
      </c>
      <c r="E274" s="109">
        <f>(B274 - C274)*(avgTrSize+D242)*(avgLowRelayVerification*ongoingResourcePercent10thP2*POWER(1+cpuGrowth,A274))/missingTransactionRate/1000/1000</f>
        <v>287.25290765232546</v>
      </c>
      <c r="F274" s="109">
        <f t="shared" si="62"/>
        <v>258.8695479152305</v>
      </c>
      <c r="G274" s="109">
        <f t="shared" si="59"/>
        <v>113.26345026510693</v>
      </c>
      <c r="H274" s="6">
        <f t="shared" si="63"/>
        <v>397.41561496528743</v>
      </c>
      <c r="I274" s="140">
        <f>F274*(missingTransactionRate+compactBlockCompactedness)/(avgLowRelayBandwidth*ongoingResourcePercent10thP2*POWER(1+bandwidthGrowth,A274)*mbToGB*1000)</f>
        <v>2.0629774025681815</v>
      </c>
      <c r="J274" s="141">
        <f>(G274*missingTransactionRate*1000*1000/avgTrSize)/(avgLowRelayVerification*ongoingResourcePercent10thP2*POWER(1+cpuGrowth,A274))</f>
        <v>1.8591353240835971</v>
      </c>
      <c r="K274" s="184">
        <f t="shared" si="60"/>
        <v>2.4</v>
      </c>
    </row>
    <row r="275" spans="1:11" s="94" customFormat="1" x14ac:dyDescent="0.25">
      <c r="A275" s="94">
        <v>7</v>
      </c>
      <c r="B275" s="137">
        <f t="shared" si="58"/>
        <v>2.4</v>
      </c>
      <c r="C275" s="176">
        <f t="shared" si="61"/>
        <v>0.32925971799156073</v>
      </c>
      <c r="D275" s="109">
        <f>(B275 - C275)*(avgLowRelayBandwidth*ongoingResourcePercent10thP2*POWER(1+bandwidthGrowth,A275)*mbToGB*1000)/(compactBlockCompactedness+missingTransactionRate)</f>
        <v>324.80457613475056</v>
      </c>
      <c r="E275" s="109">
        <f>(B275 - C275)*(avgTrSize+D243)*(avgLowRelayVerification*ongoingResourcePercent10thP2*POWER(1+cpuGrowth,A275))/missingTransactionRate/1000/1000</f>
        <v>337.35057617368727</v>
      </c>
      <c r="F275" s="109">
        <f t="shared" si="62"/>
        <v>324.80457613475056</v>
      </c>
      <c r="G275" s="109">
        <f t="shared" si="59"/>
        <v>142.11206861211897</v>
      </c>
      <c r="H275" s="6">
        <f t="shared" si="63"/>
        <v>498.63883723550526</v>
      </c>
      <c r="I275" s="140">
        <f>F275*(missingTransactionRate+compactBlockCompactedness)/(avgLowRelayBandwidth*ongoingResourcePercent10thP2*POWER(1+bandwidthGrowth,A275)*mbToGB*1000)</f>
        <v>2.0707402820084391</v>
      </c>
      <c r="J275" s="141">
        <f>(G275*missingTransactionRate*1000*1000/avgTrSize)/(avgLowRelayVerification*ongoingResourcePercent10thP2*POWER(1+cpuGrowth,A275))</f>
        <v>1.9937298676395898</v>
      </c>
      <c r="K275" s="184">
        <f t="shared" si="60"/>
        <v>2.4</v>
      </c>
    </row>
    <row r="276" spans="1:11" s="94" customFormat="1" x14ac:dyDescent="0.25">
      <c r="A276" s="94">
        <v>8</v>
      </c>
      <c r="B276" s="137">
        <f t="shared" si="58"/>
        <v>2.4</v>
      </c>
      <c r="C276" s="176">
        <f t="shared" si="61"/>
        <v>0.32172972493451052</v>
      </c>
      <c r="D276" s="109">
        <f>(B276 - C276)*(avgLowRelayBandwidth*ongoingResourcePercent10thP2*POWER(1+bandwidthGrowth,A276)*mbToGB*1000)/(compactBlockCompactedness+missingTransactionRate)</f>
        <v>407.48211017280215</v>
      </c>
      <c r="E276" s="109">
        <f>(B276 - C276)*(avgTrSize+D244)*(avgLowRelayVerification*ongoingResourcePercent10thP2*POWER(1+cpuGrowth,A276))/missingTransactionRate/1000/1000</f>
        <v>372.78265620680645</v>
      </c>
      <c r="F276" s="109">
        <f t="shared" si="62"/>
        <v>372.78265620680645</v>
      </c>
      <c r="G276" s="109">
        <f t="shared" si="59"/>
        <v>173.32153792776947</v>
      </c>
      <c r="H276" s="6">
        <f t="shared" si="63"/>
        <v>608.14574711498074</v>
      </c>
      <c r="I276" s="140">
        <f>F276*(missingTransactionRate+compactBlockCompactedness)/(avgLowRelayBandwidth*ongoingResourcePercent10thP2*POWER(1+bandwidthGrowth,A276)*mbToGB*1000)</f>
        <v>1.901293563847541</v>
      </c>
      <c r="J276" s="141">
        <f>(G276*missingTransactionRate*1000*1000/avgTrSize)/(avgLowRelayVerification*ongoingResourcePercent10thP2*POWER(1+cpuGrowth,A276))</f>
        <v>2.0782702750654893</v>
      </c>
      <c r="K276" s="184">
        <f t="shared" si="60"/>
        <v>2.4</v>
      </c>
    </row>
    <row r="277" spans="1:11" s="94" customFormat="1" x14ac:dyDescent="0.25">
      <c r="A277" s="94">
        <v>9</v>
      </c>
      <c r="B277" s="137">
        <f t="shared" si="58"/>
        <v>2.4</v>
      </c>
      <c r="C277" s="176">
        <f t="shared" si="61"/>
        <v>0.31442563166917192</v>
      </c>
      <c r="D277" s="109">
        <f>(B277 - C277)*(avgLowRelayBandwidth*ongoingResourcePercent10thP2*POWER(1+bandwidthGrowth,A277)*mbToGB*1000)/(compactBlockCompactedness+missingTransactionRate)</f>
        <v>511.1427605962939</v>
      </c>
      <c r="E277" s="109">
        <f>(B277 - C277)*(avgTrSize+D245)*(avgLowRelayVerification*ongoingResourcePercent10thP2*POWER(1+cpuGrowth,A277))/missingTransactionRate/1000/1000</f>
        <v>437.68857959577861</v>
      </c>
      <c r="F277" s="109">
        <f t="shared" si="62"/>
        <v>437.68857959577861</v>
      </c>
      <c r="G277" s="109">
        <f t="shared" si="59"/>
        <v>203.49889268152114</v>
      </c>
      <c r="H277" s="6">
        <f t="shared" si="63"/>
        <v>714.03120239130226</v>
      </c>
      <c r="I277" s="140">
        <f>F277*(missingTransactionRate+compactBlockCompactedness)/(avgLowRelayBandwidth*ongoingResourcePercent10thP2*POWER(1+bandwidthGrowth,A277)*mbToGB*1000)</f>
        <v>1.785865228436734</v>
      </c>
      <c r="J277" s="141">
        <f>(G277*missingTransactionRate*1000*1000/avgTrSize)/(avgLowRelayVerification*ongoingResourcePercent10thP2*POWER(1+cpuGrowth,A277))</f>
        <v>2.0855743683308283</v>
      </c>
      <c r="K277" s="184">
        <f t="shared" si="60"/>
        <v>2.4000000000000004</v>
      </c>
    </row>
    <row r="278" spans="1:11" s="94" customFormat="1" x14ac:dyDescent="0.25">
      <c r="A278" s="94">
        <v>10</v>
      </c>
      <c r="B278" s="137">
        <f t="shared" si="58"/>
        <v>2.4</v>
      </c>
      <c r="C278" s="176">
        <f t="shared" si="61"/>
        <v>0.30734066120179343</v>
      </c>
      <c r="D278" s="109">
        <f>(B278 - C278)*(avgLowRelayBandwidth*ongoingResourcePercent10thP2*POWER(1+bandwidthGrowth,A278)*mbToGB*1000)/(compactBlockCompactedness+missingTransactionRate)</f>
        <v>641.09897473772071</v>
      </c>
      <c r="E278" s="109">
        <f>(B278 - C278)*(avgTrSize+D246)*(avgLowRelayVerification*ongoingResourcePercent10thP2*POWER(1+cpuGrowth,A278))/missingTransactionRate/1000/1000</f>
        <v>513.83529437125776</v>
      </c>
      <c r="F278" s="109">
        <f t="shared" si="62"/>
        <v>513.83529437125776</v>
      </c>
      <c r="G278" s="109">
        <f t="shared" si="59"/>
        <v>238.90254007039417</v>
      </c>
      <c r="H278" s="6">
        <f t="shared" si="63"/>
        <v>838.25452656278651</v>
      </c>
      <c r="I278" s="140">
        <f>F278*(missingTransactionRate+compactBlockCompactedness)/(avgLowRelayBandwidth*ongoingResourcePercent10thP2*POWER(1+bandwidthGrowth,A278)*mbToGB*1000)</f>
        <v>1.6772483964898646</v>
      </c>
      <c r="J278" s="141">
        <f>(G278*missingTransactionRate*1000*1000/avgTrSize)/(avgLowRelayVerification*ongoingResourcePercent10thP2*POWER(1+cpuGrowth,A278))</f>
        <v>2.0926593387982062</v>
      </c>
      <c r="K278" s="184">
        <f t="shared" si="60"/>
        <v>2.3999999999999995</v>
      </c>
    </row>
    <row r="279" spans="1:11" s="94" customFormat="1" x14ac:dyDescent="0.25">
      <c r="A279" s="94">
        <v>11</v>
      </c>
      <c r="B279" s="137">
        <f t="shared" si="58"/>
        <v>2.4</v>
      </c>
      <c r="C279" s="176">
        <f t="shared" si="61"/>
        <v>0.30046823984843635</v>
      </c>
      <c r="D279" s="109">
        <f>(B279 - C279)*(avgLowRelayBandwidth*ongoingResourcePercent10thP2*POWER(1+bandwidthGrowth,A279)*mbToGB*1000)/(compactBlockCompactedness+missingTransactionRate)</f>
        <v>804.00547876287897</v>
      </c>
      <c r="E279" s="109">
        <f>(B279 - C279)*(avgTrSize+D247)*(avgLowRelayVerification*ongoingResourcePercent10thP2*POWER(1+cpuGrowth,A279))/missingTransactionRate/1000/1000</f>
        <v>603.16163028591052</v>
      </c>
      <c r="F279" s="109">
        <f t="shared" si="62"/>
        <v>603.16163028591052</v>
      </c>
      <c r="G279" s="109">
        <f t="shared" si="59"/>
        <v>280.43391944226926</v>
      </c>
      <c r="H279" s="6">
        <f t="shared" si="63"/>
        <v>983.97866470971667</v>
      </c>
      <c r="I279" s="140">
        <f>F279*(missingTransactionRate+compactBlockCompactedness)/(avgLowRelayBandwidth*ongoingResourcePercent10thP2*POWER(1+bandwidthGrowth,A279)*mbToGB*1000)</f>
        <v>1.5750601615782576</v>
      </c>
      <c r="J279" s="141">
        <f>(G279*missingTransactionRate*1000*1000/avgTrSize)/(avgLowRelayVerification*ongoingResourcePercent10thP2*POWER(1+cpuGrowth,A279))</f>
        <v>2.0995317601515637</v>
      </c>
      <c r="K279" s="184">
        <f t="shared" si="60"/>
        <v>2.4</v>
      </c>
    </row>
    <row r="280" spans="1:11" s="94" customFormat="1" x14ac:dyDescent="0.25">
      <c r="A280" s="94">
        <v>12</v>
      </c>
      <c r="B280" s="137">
        <f t="shared" si="58"/>
        <v>2.4</v>
      </c>
      <c r="C280" s="176">
        <f t="shared" si="61"/>
        <v>0.29380199113567995</v>
      </c>
      <c r="D280" s="109">
        <f>(B280 - C280)*(avgLowRelayBandwidth*ongoingResourcePercent10thP2*POWER(1+bandwidthGrowth,A280)*mbToGB*1000)/(compactBlockCompactedness+missingTransactionRate)</f>
        <v>1008.1978578667315</v>
      </c>
      <c r="E280" s="109">
        <f>(B280 - C280)*(avgTrSize+D248)*(avgLowRelayVerification*ongoingResourcePercent10thP2*POWER(1+cpuGrowth,A280))/missingTransactionRate/1000/1000</f>
        <v>707.93978121512487</v>
      </c>
      <c r="F280" s="109">
        <f t="shared" si="62"/>
        <v>707.93978121512487</v>
      </c>
      <c r="G280" s="109">
        <f t="shared" si="59"/>
        <v>329.14946443319468</v>
      </c>
      <c r="H280" s="6">
        <f t="shared" si="63"/>
        <v>1154.9104015199812</v>
      </c>
      <c r="I280" s="140">
        <f>F280*(missingTransactionRate+compactBlockCompactedness)/(avgLowRelayBandwidth*ongoingResourcePercent10thP2*POWER(1+bandwidthGrowth,A280)*mbToGB*1000)</f>
        <v>1.4789372403013317</v>
      </c>
      <c r="J280" s="141">
        <f>(G280*missingTransactionRate*1000*1000/avgTrSize)/(avgLowRelayVerification*ongoingResourcePercent10thP2*POWER(1+cpuGrowth,A280))</f>
        <v>2.10619800886432</v>
      </c>
      <c r="K280" s="184">
        <f t="shared" si="60"/>
        <v>2.4</v>
      </c>
    </row>
    <row r="281" spans="1:11" s="94" customFormat="1" x14ac:dyDescent="0.25">
      <c r="A281" s="94">
        <v>13</v>
      </c>
      <c r="B281" s="137">
        <f t="shared" si="58"/>
        <v>2.4</v>
      </c>
      <c r="C281" s="176">
        <f t="shared" si="61"/>
        <v>0.28733572988430622</v>
      </c>
      <c r="D281" s="109">
        <f>(B281 - C281)*(avgLowRelayBandwidth*ongoingResourcePercent10thP2*POWER(1+bandwidthGrowth,A281)*mbToGB*1000)/(compactBlockCompactedness+missingTransactionRate)</f>
        <v>1264.1164212468384</v>
      </c>
      <c r="E281" s="109">
        <f>(B281 - C281)*(avgTrSize+D249)*(avgLowRelayVerification*ongoingResourcePercent10thP2*POWER(1+cpuGrowth,A281))/missingTransactionRate/1000/1000</f>
        <v>778.78536883613913</v>
      </c>
      <c r="F281" s="109">
        <f t="shared" si="62"/>
        <v>778.78536883613913</v>
      </c>
      <c r="G281" s="109">
        <f t="shared" si="59"/>
        <v>386.28718801728388</v>
      </c>
      <c r="H281" s="6">
        <f t="shared" si="63"/>
        <v>1355.3936421659082</v>
      </c>
      <c r="I281" s="140">
        <f>F281*(missingTransactionRate+compactBlockCompactedness)/(avgLowRelayBandwidth*ongoingResourcePercent10thP2*POWER(1+bandwidthGrowth,A281)*mbToGB*1000)</f>
        <v>1.301551024237277</v>
      </c>
      <c r="J281" s="141">
        <f>(G281*missingTransactionRate*1000*1000/avgTrSize)/(avgLowRelayVerification*ongoingResourcePercent10thP2*POWER(1+cpuGrowth,A281))</f>
        <v>2.1126642701156944</v>
      </c>
      <c r="K281" s="184">
        <f t="shared" si="60"/>
        <v>2.4000000000000004</v>
      </c>
    </row>
    <row r="282" spans="1:11" s="94" customFormat="1" x14ac:dyDescent="0.25">
      <c r="A282" s="94">
        <v>14</v>
      </c>
      <c r="B282" s="137">
        <f t="shared" si="58"/>
        <v>2.4</v>
      </c>
      <c r="C282" s="176">
        <f t="shared" si="61"/>
        <v>0.28106345647047376</v>
      </c>
      <c r="D282" s="109">
        <f>(B282 - C282)*(avgLowRelayBandwidth*ongoingResourcePercent10thP2*POWER(1+bandwidthGrowth,A282)*mbToGB*1000)/(compactBlockCompactedness+missingTransactionRate)</f>
        <v>1584.8368089910737</v>
      </c>
      <c r="E282" s="109">
        <f>(B282 - C282)*(avgTrSize+D250)*(avgLowRelayVerification*ongoingResourcePercent10thP2*POWER(1+cpuGrowth,A282))/missingTransactionRate/1000/1000</f>
        <v>913.88407381836271</v>
      </c>
      <c r="F282" s="109">
        <f t="shared" si="62"/>
        <v>913.88407381836271</v>
      </c>
      <c r="G282" s="109">
        <f t="shared" si="59"/>
        <v>453.29781885431515</v>
      </c>
      <c r="H282" s="6">
        <f t="shared" si="63"/>
        <v>1590.51866264672</v>
      </c>
      <c r="I282" s="140">
        <f>F282*(missingTransactionRate+compactBlockCompactedness)/(avgLowRelayBandwidth*ongoingResourcePercent10thP2*POWER(1+bandwidthGrowth,A282)*mbToGB*1000)</f>
        <v>1.2218686173727495</v>
      </c>
      <c r="J282" s="141">
        <f>(G282*missingTransactionRate*1000*1000/avgTrSize)/(avgLowRelayVerification*ongoingResourcePercent10thP2*POWER(1+cpuGrowth,A282))</f>
        <v>2.118936543529526</v>
      </c>
      <c r="K282" s="184">
        <f t="shared" si="60"/>
        <v>2.4</v>
      </c>
    </row>
    <row r="283" spans="1:11" s="94" customFormat="1" x14ac:dyDescent="0.25">
      <c r="A283" s="94">
        <v>15</v>
      </c>
      <c r="B283" s="137">
        <f t="shared" si="58"/>
        <v>2.4</v>
      </c>
      <c r="C283" s="176">
        <f t="shared" si="61"/>
        <v>0.2749793512590562</v>
      </c>
      <c r="D283" s="109">
        <f>(B283 - C283)*(avgLowRelayBandwidth*ongoingResourcePercent10thP2*POWER(1+bandwidthGrowth,A283)*mbToGB*1000)/(compactBlockCompactedness+missingTransactionRate)</f>
        <v>1986.7341911882802</v>
      </c>
      <c r="E283" s="109">
        <f>(B283 - C283)*(avgTrSize+D251)*(avgLowRelayVerification*ongoingResourcePercent10thP2*POWER(1+cpuGrowth,A283))/missingTransactionRate/1000/1000</f>
        <v>1072.3144890861472</v>
      </c>
      <c r="F283" s="109">
        <f t="shared" si="62"/>
        <v>1072.3144890861472</v>
      </c>
      <c r="G283" s="109">
        <f t="shared" si="59"/>
        <v>531.88126695075698</v>
      </c>
      <c r="H283" s="6">
        <f t="shared" si="63"/>
        <v>1866.2500594763403</v>
      </c>
      <c r="I283" s="140">
        <f>F283*(missingTransactionRate+compactBlockCompactedness)/(avgLowRelayBandwidth*ongoingResourcePercent10thP2*POWER(1+bandwidthGrowth,A283)*mbToGB*1000)</f>
        <v>1.1469528441996846</v>
      </c>
      <c r="J283" s="141">
        <f>(G283*missingTransactionRate*1000*1000/avgTrSize)/(avgLowRelayVerification*ongoingResourcePercent10thP2*POWER(1+cpuGrowth,A283))</f>
        <v>2.1250206487409438</v>
      </c>
      <c r="K283" s="184">
        <f>MAX(I283,J283)+C283</f>
        <v>2.4</v>
      </c>
    </row>
    <row r="284" spans="1:11" s="94" customFormat="1" x14ac:dyDescent="0.25">
      <c r="B284" s="137"/>
      <c r="C284" s="9"/>
      <c r="D284" s="141"/>
      <c r="E284" s="140"/>
      <c r="F284" s="140"/>
      <c r="G284" s="142"/>
    </row>
    <row r="285" spans="1:11" s="94" customFormat="1" x14ac:dyDescent="0.25">
      <c r="B285" s="151"/>
      <c r="C285" s="152" t="s">
        <v>150</v>
      </c>
      <c r="D285" s="167"/>
      <c r="E285" s="151"/>
      <c r="F285" s="159"/>
      <c r="G285" s="152" t="s">
        <v>141</v>
      </c>
      <c r="H285" s="167"/>
      <c r="I285" s="151"/>
      <c r="J285" s="161" t="s">
        <v>141</v>
      </c>
    </row>
    <row r="286" spans="1:11" s="94" customFormat="1" x14ac:dyDescent="0.25">
      <c r="B286" s="153" t="s">
        <v>130</v>
      </c>
      <c r="C286" s="154" t="s">
        <v>130</v>
      </c>
      <c r="D286" s="167"/>
      <c r="E286" s="153" t="s">
        <v>32</v>
      </c>
      <c r="F286" s="160" t="s">
        <v>101</v>
      </c>
      <c r="G286" s="154" t="s">
        <v>142</v>
      </c>
      <c r="H286" s="167"/>
      <c r="I286" s="153" t="s">
        <v>32</v>
      </c>
      <c r="J286" s="154" t="s">
        <v>143</v>
      </c>
    </row>
    <row r="287" spans="1:11" s="94" customFormat="1" x14ac:dyDescent="0.25">
      <c r="B287" s="155">
        <v>40</v>
      </c>
      <c r="C287" s="156">
        <f t="shared" ref="C287:C297" si="64">(avgHops19)*B287/1000</f>
        <v>0.20396252649193253</v>
      </c>
      <c r="E287" s="162">
        <v>5000</v>
      </c>
      <c r="F287" s="164">
        <v>100</v>
      </c>
      <c r="G287" s="156">
        <f t="shared" ref="G287:G297" si="65">(E287*missingTransactionRate*1000/avgTrSize)/(F287*ongoingResourcePercent10thP2)</f>
        <v>10.526315789473683</v>
      </c>
      <c r="I287" s="162">
        <v>500</v>
      </c>
      <c r="J287" s="156">
        <f t="shared" ref="J287:J297" si="66">I287*(missingTransactionRate+compactBlockCompactedness)/(avgRelayBandwidth*ongoingResourcePercent10thP2*mbToGB*KBperGB)</f>
        <v>1.52E-2</v>
      </c>
    </row>
    <row r="288" spans="1:11" s="94" customFormat="1" x14ac:dyDescent="0.25">
      <c r="B288" s="155">
        <v>60</v>
      </c>
      <c r="C288" s="156">
        <f t="shared" si="64"/>
        <v>0.30594378973789876</v>
      </c>
      <c r="E288" s="162">
        <v>5000</v>
      </c>
      <c r="F288" s="164">
        <v>200</v>
      </c>
      <c r="G288" s="156">
        <f t="shared" si="65"/>
        <v>5.2631578947368416</v>
      </c>
      <c r="I288" s="162">
        <v>1000</v>
      </c>
      <c r="J288" s="156">
        <f t="shared" si="66"/>
        <v>3.04E-2</v>
      </c>
    </row>
    <row r="289" spans="1:10" s="94" customFormat="1" x14ac:dyDescent="0.25">
      <c r="B289" s="155">
        <v>80</v>
      </c>
      <c r="C289" s="156">
        <f t="shared" si="64"/>
        <v>0.40792505298386506</v>
      </c>
      <c r="E289" s="162">
        <v>5000</v>
      </c>
      <c r="F289" s="164">
        <v>500</v>
      </c>
      <c r="G289" s="156">
        <f t="shared" si="65"/>
        <v>2.1052631578947367</v>
      </c>
      <c r="I289" s="162">
        <v>1500</v>
      </c>
      <c r="J289" s="156">
        <f t="shared" si="66"/>
        <v>4.5600000000000002E-2</v>
      </c>
    </row>
    <row r="290" spans="1:10" s="94" customFormat="1" x14ac:dyDescent="0.25">
      <c r="B290" s="155">
        <v>100</v>
      </c>
      <c r="C290" s="156">
        <f t="shared" si="64"/>
        <v>0.50990631622983129</v>
      </c>
      <c r="E290" s="162">
        <v>5000</v>
      </c>
      <c r="F290" s="164">
        <v>1000</v>
      </c>
      <c r="G290" s="156">
        <f t="shared" si="65"/>
        <v>1.0526315789473684</v>
      </c>
      <c r="I290" s="162">
        <v>2000</v>
      </c>
      <c r="J290" s="156">
        <f t="shared" si="66"/>
        <v>6.08E-2</v>
      </c>
    </row>
    <row r="291" spans="1:10" s="94" customFormat="1" x14ac:dyDescent="0.25">
      <c r="B291" s="155">
        <v>120</v>
      </c>
      <c r="C291" s="156">
        <f t="shared" si="64"/>
        <v>0.61188757947579753</v>
      </c>
      <c r="E291" s="162">
        <v>5000</v>
      </c>
      <c r="F291" s="164">
        <v>2000</v>
      </c>
      <c r="G291" s="156">
        <f t="shared" si="65"/>
        <v>0.52631578947368418</v>
      </c>
      <c r="I291" s="162">
        <v>2500</v>
      </c>
      <c r="J291" s="156">
        <f t="shared" si="66"/>
        <v>7.5999999999999998E-2</v>
      </c>
    </row>
    <row r="292" spans="1:10" s="94" customFormat="1" x14ac:dyDescent="0.25">
      <c r="B292" s="155">
        <v>140</v>
      </c>
      <c r="C292" s="156">
        <f t="shared" si="64"/>
        <v>0.71386884272176387</v>
      </c>
      <c r="E292" s="162">
        <v>5000</v>
      </c>
      <c r="F292" s="164">
        <v>5000</v>
      </c>
      <c r="G292" s="156">
        <f t="shared" si="65"/>
        <v>0.21052631578947367</v>
      </c>
      <c r="I292" s="162">
        <v>3000</v>
      </c>
      <c r="J292" s="156">
        <f t="shared" si="66"/>
        <v>9.1200000000000003E-2</v>
      </c>
    </row>
    <row r="293" spans="1:10" s="94" customFormat="1" x14ac:dyDescent="0.25">
      <c r="B293" s="155">
        <v>160</v>
      </c>
      <c r="C293" s="156">
        <f t="shared" si="64"/>
        <v>0.81585010596773011</v>
      </c>
      <c r="E293" s="162">
        <v>5000</v>
      </c>
      <c r="F293" s="164">
        <v>10000</v>
      </c>
      <c r="G293" s="156">
        <f t="shared" si="65"/>
        <v>0.10526315789473684</v>
      </c>
      <c r="I293" s="162">
        <v>3500</v>
      </c>
      <c r="J293" s="156">
        <f t="shared" si="66"/>
        <v>0.10639999999999999</v>
      </c>
    </row>
    <row r="294" spans="1:10" s="94" customFormat="1" x14ac:dyDescent="0.25">
      <c r="B294" s="155">
        <v>180</v>
      </c>
      <c r="C294" s="156">
        <f t="shared" si="64"/>
        <v>0.91783136921369624</v>
      </c>
      <c r="E294" s="162">
        <v>5000</v>
      </c>
      <c r="F294" s="164">
        <v>20000</v>
      </c>
      <c r="G294" s="156">
        <f t="shared" si="65"/>
        <v>5.2631578947368418E-2</v>
      </c>
      <c r="I294" s="162">
        <v>4000</v>
      </c>
      <c r="J294" s="156">
        <f t="shared" si="66"/>
        <v>0.1216</v>
      </c>
    </row>
    <row r="295" spans="1:10" s="94" customFormat="1" x14ac:dyDescent="0.25">
      <c r="B295" s="155">
        <v>200</v>
      </c>
      <c r="C295" s="156">
        <f t="shared" si="64"/>
        <v>1.0198126324596626</v>
      </c>
      <c r="E295" s="162">
        <v>5000</v>
      </c>
      <c r="F295" s="164">
        <v>50000</v>
      </c>
      <c r="G295" s="156">
        <f t="shared" si="65"/>
        <v>2.1052631578947368E-2</v>
      </c>
      <c r="I295" s="162">
        <v>4500</v>
      </c>
      <c r="J295" s="156">
        <f t="shared" si="66"/>
        <v>0.1368</v>
      </c>
    </row>
    <row r="296" spans="1:10" s="94" customFormat="1" x14ac:dyDescent="0.25">
      <c r="B296" s="155">
        <v>220</v>
      </c>
      <c r="C296" s="156">
        <f t="shared" si="64"/>
        <v>1.1217938957056288</v>
      </c>
      <c r="E296" s="162">
        <v>5000</v>
      </c>
      <c r="F296" s="164">
        <v>100000</v>
      </c>
      <c r="G296" s="156">
        <f t="shared" si="65"/>
        <v>1.0526315789473684E-2</v>
      </c>
      <c r="I296" s="162">
        <v>5000</v>
      </c>
      <c r="J296" s="156">
        <f t="shared" si="66"/>
        <v>0.152</v>
      </c>
    </row>
    <row r="297" spans="1:10" s="94" customFormat="1" x14ac:dyDescent="0.25">
      <c r="B297" s="157">
        <v>240</v>
      </c>
      <c r="C297" s="158">
        <f t="shared" si="64"/>
        <v>1.2237751589515951</v>
      </c>
      <c r="E297" s="163">
        <v>5000</v>
      </c>
      <c r="F297" s="165">
        <v>200000</v>
      </c>
      <c r="G297" s="158">
        <f t="shared" si="65"/>
        <v>5.263157894736842E-3</v>
      </c>
      <c r="I297" s="163">
        <v>5500</v>
      </c>
      <c r="J297" s="158">
        <f t="shared" si="66"/>
        <v>0.16719999999999999</v>
      </c>
    </row>
    <row r="299" spans="1:10" x14ac:dyDescent="0.25">
      <c r="A299" s="99" t="s">
        <v>117</v>
      </c>
    </row>
    <row r="300" spans="1:10" x14ac:dyDescent="0.25">
      <c r="D300" s="95" t="s">
        <v>121</v>
      </c>
    </row>
    <row r="301" spans="1:10" x14ac:dyDescent="0.25">
      <c r="B301" s="95" t="s">
        <v>118</v>
      </c>
      <c r="C301" s="95" t="s">
        <v>119</v>
      </c>
      <c r="D301" s="95" t="s">
        <v>111</v>
      </c>
    </row>
    <row r="302" spans="1:10" x14ac:dyDescent="0.25">
      <c r="B302" s="95" t="s">
        <v>106</v>
      </c>
      <c r="C302" s="95" t="s">
        <v>120</v>
      </c>
      <c r="D302" s="187" t="s">
        <v>101</v>
      </c>
    </row>
    <row r="303" spans="1:10" x14ac:dyDescent="0.25">
      <c r="B303" s="101">
        <v>3</v>
      </c>
      <c r="C303" s="23">
        <v>30</v>
      </c>
      <c r="D303" s="121">
        <f>(endGameUsers*1000*1000*1000)*(B303/2)/(C303*24*60*60)</f>
        <v>4629.6296296296296</v>
      </c>
    </row>
    <row r="305" spans="1:10" x14ac:dyDescent="0.25">
      <c r="A305" s="99" t="s">
        <v>125</v>
      </c>
    </row>
    <row r="306" spans="1:10" x14ac:dyDescent="0.25">
      <c r="H306" s="187" t="s">
        <v>187</v>
      </c>
    </row>
    <row r="307" spans="1:10" x14ac:dyDescent="0.25">
      <c r="E307" s="187"/>
      <c r="F307" s="187"/>
      <c r="G307" s="187" t="s">
        <v>31</v>
      </c>
      <c r="H307" s="187" t="s">
        <v>188</v>
      </c>
      <c r="I307" s="187" t="s">
        <v>31</v>
      </c>
      <c r="J307" s="187" t="s">
        <v>31</v>
      </c>
    </row>
    <row r="308" spans="1:10" x14ac:dyDescent="0.25">
      <c r="E308" s="187" t="s">
        <v>67</v>
      </c>
      <c r="F308" s="187" t="s">
        <v>68</v>
      </c>
      <c r="G308" s="187" t="s">
        <v>32</v>
      </c>
      <c r="H308" s="187" t="s">
        <v>32</v>
      </c>
      <c r="I308" s="187" t="s">
        <v>93</v>
      </c>
      <c r="J308" s="187" t="s">
        <v>35</v>
      </c>
    </row>
    <row r="309" spans="1:10" ht="15.75" x14ac:dyDescent="0.25">
      <c r="D309" s="188" t="s">
        <v>182</v>
      </c>
      <c r="E309" s="92" t="str">
        <f t="shared" ref="E309:E315" si="67">$A$120</f>
        <v>10th %ile</v>
      </c>
      <c r="F309" s="189">
        <f>F152</f>
        <v>83.333333333333329</v>
      </c>
      <c r="G309" s="109">
        <f>G152</f>
        <v>57.481868940035156</v>
      </c>
      <c r="H309" s="109">
        <f>H152</f>
        <v>23.75</v>
      </c>
      <c r="I309" s="114" t="s">
        <v>4</v>
      </c>
      <c r="J309" s="182">
        <f t="shared" ref="J309:J315" si="68">endGameUsers*utxosPerUserEndGame</f>
        <v>800</v>
      </c>
    </row>
    <row r="310" spans="1:10" ht="15.75" x14ac:dyDescent="0.25">
      <c r="D310" s="188" t="s">
        <v>181</v>
      </c>
      <c r="E310" s="92" t="str">
        <f t="shared" si="67"/>
        <v>10th %ile</v>
      </c>
      <c r="F310" s="87">
        <f>I131</f>
        <v>90.569928288630038</v>
      </c>
      <c r="G310" s="109">
        <f>G131</f>
        <v>62.473544973544975</v>
      </c>
      <c r="H310" s="109">
        <f>H131</f>
        <v>25.812429562259563</v>
      </c>
      <c r="I310" s="114" t="s">
        <v>4</v>
      </c>
      <c r="J310" s="182">
        <f t="shared" si="68"/>
        <v>800</v>
      </c>
    </row>
    <row r="311" spans="1:10" ht="15.75" x14ac:dyDescent="0.25">
      <c r="D311" s="188" t="s">
        <v>167</v>
      </c>
      <c r="E311" s="92" t="s">
        <v>166</v>
      </c>
      <c r="F311" s="194">
        <f>H268</f>
        <v>95.906012566306686</v>
      </c>
      <c r="G311" s="109">
        <f>F268</f>
        <v>66.154282138773667</v>
      </c>
      <c r="H311" s="109">
        <f>G268</f>
        <v>27.333213581397406</v>
      </c>
      <c r="I311" s="114" t="s">
        <v>4</v>
      </c>
      <c r="J311" s="182">
        <f t="shared" si="68"/>
        <v>800</v>
      </c>
    </row>
    <row r="312" spans="1:10" ht="15.75" x14ac:dyDescent="0.25">
      <c r="D312" s="188" t="s">
        <v>123</v>
      </c>
      <c r="E312" s="92" t="str">
        <f t="shared" si="67"/>
        <v>10th %ile</v>
      </c>
      <c r="F312" s="189">
        <f>H173</f>
        <v>271.8248430004935</v>
      </c>
      <c r="G312" s="109">
        <f>F173</f>
        <v>187.5</v>
      </c>
      <c r="H312" s="109">
        <f>G173</f>
        <v>77.470080255140644</v>
      </c>
      <c r="I312" s="114" t="s">
        <v>4</v>
      </c>
      <c r="J312" s="182">
        <f t="shared" si="68"/>
        <v>800</v>
      </c>
    </row>
    <row r="313" spans="1:10" ht="15.75" x14ac:dyDescent="0.25">
      <c r="D313" s="188" t="s">
        <v>189</v>
      </c>
      <c r="E313" s="92" t="str">
        <f t="shared" si="67"/>
        <v>10th %ile</v>
      </c>
      <c r="F313" s="189">
        <f>E194</f>
        <v>500</v>
      </c>
      <c r="G313" s="109">
        <f>F194</f>
        <v>344.89121364021094</v>
      </c>
      <c r="H313" s="109">
        <f>G194</f>
        <v>142.5</v>
      </c>
      <c r="I313" s="114" t="s">
        <v>4</v>
      </c>
      <c r="J313" s="182">
        <f t="shared" si="68"/>
        <v>800</v>
      </c>
    </row>
    <row r="314" spans="1:10" ht="15.75" x14ac:dyDescent="0.25">
      <c r="D314" s="188" t="s">
        <v>191</v>
      </c>
      <c r="E314" s="92" t="str">
        <f t="shared" si="67"/>
        <v>10th %ile</v>
      </c>
      <c r="F314" s="189">
        <f>G215</f>
        <v>2038.6863225037014</v>
      </c>
      <c r="G314" s="109">
        <f>E215</f>
        <v>1406.25</v>
      </c>
      <c r="H314" s="109">
        <f>F215</f>
        <v>581.02560191355485</v>
      </c>
      <c r="I314" s="114" t="s">
        <v>4</v>
      </c>
      <c r="J314" s="182">
        <f t="shared" si="68"/>
        <v>800</v>
      </c>
    </row>
    <row r="315" spans="1:10" ht="15.75" x14ac:dyDescent="0.25">
      <c r="D315" s="188" t="s">
        <v>192</v>
      </c>
      <c r="E315" s="92" t="str">
        <f t="shared" si="67"/>
        <v>10th %ile</v>
      </c>
      <c r="F315" s="189">
        <f>E236</f>
        <v>3750</v>
      </c>
      <c r="G315" s="109">
        <f>F236</f>
        <v>2586.6841023015818</v>
      </c>
      <c r="H315" s="109">
        <f>G236</f>
        <v>1068.75</v>
      </c>
      <c r="I315" s="114" t="s">
        <v>4</v>
      </c>
      <c r="J315" s="182">
        <f t="shared" si="68"/>
        <v>800</v>
      </c>
    </row>
    <row r="317" spans="1:10" x14ac:dyDescent="0.25">
      <c r="A317" s="99" t="s">
        <v>126</v>
      </c>
      <c r="B317" s="94"/>
      <c r="C317" s="94"/>
    </row>
    <row r="318" spans="1:10" x14ac:dyDescent="0.25">
      <c r="A318" s="94"/>
      <c r="B318" s="94"/>
      <c r="C318" s="94"/>
      <c r="D318" s="94"/>
      <c r="E318" s="94"/>
      <c r="F318" s="94"/>
      <c r="G318" s="94"/>
      <c r="H318" s="187" t="s">
        <v>187</v>
      </c>
      <c r="I318" s="94"/>
      <c r="J318" s="94"/>
    </row>
    <row r="319" spans="1:10" x14ac:dyDescent="0.25">
      <c r="A319" s="94"/>
      <c r="B319" s="94"/>
      <c r="C319" s="94"/>
      <c r="D319" s="94"/>
      <c r="E319" s="187"/>
      <c r="F319" s="187"/>
      <c r="G319" s="187" t="s">
        <v>31</v>
      </c>
      <c r="H319" s="187" t="s">
        <v>188</v>
      </c>
      <c r="I319" s="187" t="s">
        <v>31</v>
      </c>
      <c r="J319" s="187" t="s">
        <v>31</v>
      </c>
    </row>
    <row r="320" spans="1:10" x14ac:dyDescent="0.25">
      <c r="A320" s="94"/>
      <c r="B320" s="94"/>
      <c r="C320" s="94"/>
      <c r="D320" s="94"/>
      <c r="E320" s="187" t="s">
        <v>67</v>
      </c>
      <c r="F320" s="187" t="s">
        <v>68</v>
      </c>
      <c r="G320" s="187" t="s">
        <v>32</v>
      </c>
      <c r="H320" s="187" t="s">
        <v>32</v>
      </c>
      <c r="I320" s="187" t="s">
        <v>93</v>
      </c>
      <c r="J320" s="187" t="s">
        <v>35</v>
      </c>
    </row>
    <row r="321" spans="1:10" ht="15.75" x14ac:dyDescent="0.25">
      <c r="A321" s="94"/>
      <c r="B321" s="94"/>
      <c r="C321" s="94"/>
      <c r="D321" s="188" t="s">
        <v>182</v>
      </c>
      <c r="E321" s="92" t="str">
        <f t="shared" ref="E321:E327" si="69">$A$120</f>
        <v>10th %ile</v>
      </c>
      <c r="F321" s="189">
        <f>F162</f>
        <v>400.5690324370654</v>
      </c>
      <c r="G321" s="109">
        <f>G162</f>
        <v>245.54177779664238</v>
      </c>
      <c r="H321" s="109">
        <f>H162</f>
        <v>114.16217424456363</v>
      </c>
      <c r="I321" s="114" t="s">
        <v>4</v>
      </c>
      <c r="J321" s="182">
        <f t="shared" ref="J321:J327" si="70">endGameUsers*utxosPerUserEndGame</f>
        <v>800</v>
      </c>
    </row>
    <row r="322" spans="1:10" ht="15.75" x14ac:dyDescent="0.25">
      <c r="A322" s="94"/>
      <c r="B322" s="94"/>
      <c r="C322" s="94"/>
      <c r="D322" s="188" t="s">
        <v>167</v>
      </c>
      <c r="E322" s="92" t="s">
        <v>166</v>
      </c>
      <c r="F322" s="194">
        <f>H278</f>
        <v>838.25452656278651</v>
      </c>
      <c r="G322" s="109">
        <f>F278</f>
        <v>513.83529437125776</v>
      </c>
      <c r="H322" s="109">
        <f>G278</f>
        <v>238.90254007039417</v>
      </c>
      <c r="I322" s="114" t="s">
        <v>4</v>
      </c>
      <c r="J322" s="182">
        <f t="shared" si="70"/>
        <v>800</v>
      </c>
    </row>
    <row r="323" spans="1:10" ht="15.75" x14ac:dyDescent="0.25">
      <c r="A323" s="94"/>
      <c r="D323" s="188" t="s">
        <v>181</v>
      </c>
      <c r="E323" s="92" t="str">
        <f t="shared" si="69"/>
        <v>10th %ile</v>
      </c>
      <c r="F323" s="87">
        <f>I141</f>
        <v>949.40663532515282</v>
      </c>
      <c r="G323" s="109">
        <f>G141</f>
        <v>581.96958379775049</v>
      </c>
      <c r="H323" s="109">
        <f>H141</f>
        <v>270.58089106766857</v>
      </c>
      <c r="I323" s="114" t="s">
        <v>4</v>
      </c>
      <c r="J323" s="182">
        <f t="shared" si="70"/>
        <v>800</v>
      </c>
    </row>
    <row r="324" spans="1:10" ht="15.75" x14ac:dyDescent="0.25">
      <c r="A324" s="94"/>
      <c r="B324" s="94"/>
      <c r="C324" s="94"/>
      <c r="D324" s="188" t="s">
        <v>189</v>
      </c>
      <c r="E324" s="92" t="str">
        <f t="shared" si="69"/>
        <v>10th %ile</v>
      </c>
      <c r="F324" s="189">
        <f>E204</f>
        <v>2403.4141946223926</v>
      </c>
      <c r="G324" s="109">
        <f>F204</f>
        <v>1473.2506667798546</v>
      </c>
      <c r="H324" s="109">
        <f>G204</f>
        <v>684.97304546738189</v>
      </c>
      <c r="I324" s="114" t="s">
        <v>4</v>
      </c>
      <c r="J324" s="182">
        <f t="shared" si="70"/>
        <v>800</v>
      </c>
    </row>
    <row r="325" spans="1:10" ht="15.75" x14ac:dyDescent="0.25">
      <c r="B325" s="94"/>
      <c r="C325" s="94"/>
      <c r="D325" s="188" t="s">
        <v>123</v>
      </c>
      <c r="E325" s="92" t="str">
        <f t="shared" si="69"/>
        <v>10th %ile</v>
      </c>
      <c r="F325" s="189">
        <f>H183</f>
        <v>2848.7436991487725</v>
      </c>
      <c r="G325" s="109">
        <f>F183</f>
        <v>1746.2298274040222</v>
      </c>
      <c r="H325" s="109">
        <f>G183</f>
        <v>811.89195425740002</v>
      </c>
      <c r="I325" s="114" t="s">
        <v>4</v>
      </c>
      <c r="J325" s="182">
        <f t="shared" si="70"/>
        <v>800</v>
      </c>
    </row>
    <row r="326" spans="1:10" ht="15.75" x14ac:dyDescent="0.25">
      <c r="A326" s="94"/>
      <c r="B326" s="94"/>
      <c r="C326" s="94"/>
      <c r="D326" s="188" t="s">
        <v>192</v>
      </c>
      <c r="E326" s="92" t="str">
        <f t="shared" si="69"/>
        <v>10th %ile</v>
      </c>
      <c r="F326" s="189">
        <f>E246</f>
        <v>18025.606459667946</v>
      </c>
      <c r="G326" s="109">
        <f>F246</f>
        <v>11049.380000848911</v>
      </c>
      <c r="H326" s="109">
        <f>G246</f>
        <v>5137.2978410053656</v>
      </c>
      <c r="I326" s="114" t="s">
        <v>4</v>
      </c>
      <c r="J326" s="182">
        <f t="shared" si="70"/>
        <v>800</v>
      </c>
    </row>
    <row r="327" spans="1:10" ht="15.75" x14ac:dyDescent="0.25">
      <c r="A327" s="94"/>
      <c r="B327" s="94"/>
      <c r="C327" s="94"/>
      <c r="D327" s="188" t="s">
        <v>191</v>
      </c>
      <c r="E327" s="92" t="str">
        <f t="shared" si="69"/>
        <v>10th %ile</v>
      </c>
      <c r="F327" s="189">
        <f>G225</f>
        <v>21365.577743615791</v>
      </c>
      <c r="G327" s="109">
        <f>E225</f>
        <v>13096.723705530167</v>
      </c>
      <c r="H327" s="109">
        <f>F225</f>
        <v>6089.1896569305009</v>
      </c>
      <c r="I327" s="114" t="s">
        <v>4</v>
      </c>
      <c r="J327" s="182">
        <f t="shared" si="70"/>
        <v>800</v>
      </c>
    </row>
    <row r="329" spans="1:10" x14ac:dyDescent="0.25">
      <c r="A329" s="94"/>
      <c r="B329" s="94"/>
    </row>
  </sheetData>
  <mergeCells count="6">
    <mergeCell ref="A110:C110"/>
    <mergeCell ref="A111:C111"/>
    <mergeCell ref="A113:C113"/>
    <mergeCell ref="A108:C108"/>
    <mergeCell ref="A112:C112"/>
    <mergeCell ref="A109:C109"/>
  </mergeCells>
  <conditionalFormatting sqref="F314:F315 F326:F327">
    <cfRule type="cellIs" dxfId="5" priority="2" operator="lessThan">
      <formula>$D$303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5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10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20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F321:F325 F309:F313</xm:sqref>
        </x14:conditionalFormatting>
        <x14:conditionalFormatting xmlns:xm="http://schemas.microsoft.com/office/excel/2006/main">
          <x14:cfRule type="cellIs" priority="1" operator="lessThan" id="{BF534268-13FE-4670-A168-B3AF843E34D3}">
            <xm:f>'Current Bitcoin'!$C$19/1000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H321:H327 H309:H315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128</vt:i4>
      </vt:variant>
    </vt:vector>
  </HeadingPairs>
  <TitlesOfParts>
    <vt:vector size="131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avgLowRelayBandwidth</vt:lpstr>
      <vt:lpstr>avgLowRelayVerification</vt:lpstr>
      <vt:lpstr>avgRelayBandwidth</vt:lpstr>
      <vt:lpstr>avgRelayValidationSpeed</vt:lpstr>
      <vt:lpstr>avgTrSize</vt:lpstr>
      <vt:lpstr>bandwidth1</vt:lpstr>
      <vt:lpstr>bandwidth10</vt:lpstr>
      <vt:lpstr>Bandwidth10thP2</vt:lpstr>
      <vt:lpstr>bandwidth15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percentSPVNodes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throughput15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2019-07-04T08:19:04Z</dcterms:modified>
</cp:coreProperties>
</file>