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15315" windowHeight="25350"/>
  </bookViews>
  <sheets>
    <sheet name="Sheet1" sheetId="1" r:id="rId1"/>
    <sheet name="Sheet2" sheetId="2" r:id="rId2"/>
    <sheet name="Sheet3" sheetId="3" r:id="rId3"/>
  </sheets>
  <definedNames>
    <definedName name="assumevalidBlockTime">Sheet1!$C$15</definedName>
    <definedName name="assumevalidSpeedup">Sheet1!$B$15</definedName>
    <definedName name="avgTrSize">Sheet1!$F$10</definedName>
    <definedName name="bandwidth1">Sheet1!$C$19</definedName>
    <definedName name="bandwidth2">Sheet1!$C$41</definedName>
    <definedName name="bandwidth3">Sheet1!$C$63</definedName>
    <definedName name="bandwidth5">Sheet1!$C$176</definedName>
    <definedName name="bandwidthGrowth">Sheet1!$C$6</definedName>
    <definedName name="cpuGrowth">Sheet1!$F$6</definedName>
    <definedName name="curThroughput">Sheet1!$F$15</definedName>
    <definedName name="disk1">Sheet1!$D$19</definedName>
    <definedName name="disk2">Sheet1!$D$41</definedName>
    <definedName name="disk3">Sheet1!$D$63</definedName>
    <definedName name="disk4">Sheet1!$D$127</definedName>
    <definedName name="disk5">Sheet1!$D$176</definedName>
    <definedName name="diskGrowth">Sheet1!$D$6</definedName>
    <definedName name="KBperGB">Sheet1!$E$10</definedName>
    <definedName name="mbToGB">Sheet1!$D$10</definedName>
    <definedName name="memory1">Sheet1!$E$19</definedName>
    <definedName name="memory2">Sheet1!$E$41</definedName>
    <definedName name="memory3">Sheet1!$E$63</definedName>
    <definedName name="memory4">Sheet1!$E$127</definedName>
    <definedName name="memory5">Sheet1!$E$176</definedName>
    <definedName name="memoryGrowth">Sheet1!$E$6</definedName>
    <definedName name="ongoingResourcePercent4">Sheet1!$J$127</definedName>
    <definedName name="ongoingResourcePercent5">Sheet1!$J$176</definedName>
    <definedName name="resourcePercent">Sheet1!$I$19</definedName>
    <definedName name="resourcePercent2">Sheet1!$I$41</definedName>
    <definedName name="resourcePercent3">Sheet1!$I$63</definedName>
    <definedName name="secondsPerBlock">Sheet1!$C$10</definedName>
    <definedName name="secondsPerYear">Sheet1!$B$10</definedName>
    <definedName name="syncTime1">Sheet1!$H$19</definedName>
    <definedName name="syncTime2">Sheet1!$H$41</definedName>
    <definedName name="syncTime3">Sheet1!$H$63</definedName>
    <definedName name="throughput1">Sheet1!$F$19</definedName>
    <definedName name="throughput2">Sheet1!$F$41</definedName>
    <definedName name="throughput3">Sheet1!$F$63</definedName>
    <definedName name="utxoExpand">Sheet1!$E$15</definedName>
    <definedName name="utxoGrowth">Sheet1!$H$10</definedName>
    <definedName name="utxoMemoryPercent">Sheet1!$D$15</definedName>
    <definedName name="utxoSize">Sheet1!$G$10</definedName>
  </definedNames>
  <calcPr calcId="144525"/>
</workbook>
</file>

<file path=xl/calcChain.xml><?xml version="1.0" encoding="utf-8"?>
<calcChain xmlns="http://schemas.openxmlformats.org/spreadsheetml/2006/main">
  <c r="B132" i="1" l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31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55" i="1"/>
  <c r="B155" i="1"/>
  <c r="E132" i="1"/>
  <c r="E133" i="1" s="1"/>
  <c r="E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31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D15" i="1"/>
  <c r="B181" i="1"/>
  <c r="B180" i="1"/>
  <c r="C144" i="1" l="1"/>
  <c r="E134" i="1"/>
  <c r="C136" i="1"/>
  <c r="C142" i="1"/>
  <c r="C134" i="1"/>
  <c r="C140" i="1"/>
  <c r="C132" i="1"/>
  <c r="C131" i="1"/>
  <c r="C139" i="1"/>
  <c r="C146" i="1"/>
  <c r="C138" i="1"/>
  <c r="C145" i="1"/>
  <c r="C137" i="1"/>
  <c r="C143" i="1"/>
  <c r="C135" i="1"/>
  <c r="C141" i="1"/>
  <c r="C133" i="1"/>
  <c r="C163" i="1"/>
  <c r="C170" i="1"/>
  <c r="C162" i="1"/>
  <c r="C166" i="1"/>
  <c r="C158" i="1"/>
  <c r="C165" i="1"/>
  <c r="C169" i="1"/>
  <c r="C161" i="1"/>
  <c r="C168" i="1"/>
  <c r="C160" i="1"/>
  <c r="C167" i="1"/>
  <c r="C159" i="1"/>
  <c r="C157" i="1"/>
  <c r="C164" i="1"/>
  <c r="C156" i="1"/>
  <c r="C155" i="1"/>
  <c r="C180" i="1"/>
  <c r="C15" i="1"/>
  <c r="E10" i="1"/>
  <c r="C10" i="1"/>
  <c r="E103" i="1" s="1"/>
  <c r="D10" i="1"/>
  <c r="B10" i="1"/>
  <c r="C46" i="1" s="1"/>
  <c r="E46" i="1" s="1"/>
  <c r="E135" i="1" l="1"/>
  <c r="E83" i="1"/>
  <c r="E75" i="1"/>
  <c r="E88" i="1"/>
  <c r="D46" i="1"/>
  <c r="E96" i="1"/>
  <c r="E74" i="1"/>
  <c r="E97" i="1"/>
  <c r="E81" i="1"/>
  <c r="E73" i="1"/>
  <c r="E90" i="1"/>
  <c r="E98" i="1"/>
  <c r="E80" i="1"/>
  <c r="E72" i="1"/>
  <c r="E91" i="1"/>
  <c r="E99" i="1"/>
  <c r="E82" i="1"/>
  <c r="E89" i="1"/>
  <c r="E79" i="1"/>
  <c r="E71" i="1"/>
  <c r="E92" i="1"/>
  <c r="E100" i="1"/>
  <c r="E78" i="1"/>
  <c r="E93" i="1"/>
  <c r="E101" i="1"/>
  <c r="E77" i="1"/>
  <c r="E69" i="1"/>
  <c r="E94" i="1"/>
  <c r="E102" i="1"/>
  <c r="E70" i="1"/>
  <c r="E76" i="1"/>
  <c r="E68" i="1"/>
  <c r="E95" i="1"/>
  <c r="D73" i="1"/>
  <c r="F73" i="1" s="1"/>
  <c r="D82" i="1"/>
  <c r="F82" i="1" s="1"/>
  <c r="D83" i="1"/>
  <c r="F83" i="1" s="1"/>
  <c r="D75" i="1"/>
  <c r="F75" i="1" s="1"/>
  <c r="D74" i="1"/>
  <c r="F74" i="1" s="1"/>
  <c r="D81" i="1"/>
  <c r="F81" i="1" s="1"/>
  <c r="D80" i="1"/>
  <c r="F80" i="1" s="1"/>
  <c r="D72" i="1"/>
  <c r="F72" i="1" s="1"/>
  <c r="D79" i="1"/>
  <c r="F79" i="1" s="1"/>
  <c r="D71" i="1"/>
  <c r="F71" i="1" s="1"/>
  <c r="D78" i="1"/>
  <c r="F78" i="1" s="1"/>
  <c r="D70" i="1"/>
  <c r="F70" i="1" s="1"/>
  <c r="D77" i="1"/>
  <c r="F77" i="1" s="1"/>
  <c r="D69" i="1"/>
  <c r="F69" i="1" s="1"/>
  <c r="D76" i="1"/>
  <c r="F76" i="1" s="1"/>
  <c r="D68" i="1"/>
  <c r="F68" i="1" s="1"/>
  <c r="D90" i="1"/>
  <c r="F90" i="1" s="1"/>
  <c r="D92" i="1"/>
  <c r="F92" i="1" s="1"/>
  <c r="D91" i="1"/>
  <c r="F91" i="1" s="1"/>
  <c r="D88" i="1"/>
  <c r="D89" i="1"/>
  <c r="B22" i="1"/>
  <c r="B54" i="1"/>
  <c r="B52" i="1"/>
  <c r="C47" i="1"/>
  <c r="B46" i="1"/>
  <c r="C50" i="1"/>
  <c r="B44" i="1"/>
  <c r="C58" i="1"/>
  <c r="C55" i="1"/>
  <c r="B57" i="1"/>
  <c r="C53" i="1"/>
  <c r="B49" i="1"/>
  <c r="C45" i="1"/>
  <c r="B51" i="1"/>
  <c r="B59" i="1"/>
  <c r="C44" i="1"/>
  <c r="C52" i="1"/>
  <c r="B58" i="1"/>
  <c r="B50" i="1"/>
  <c r="C59" i="1"/>
  <c r="C51" i="1"/>
  <c r="B56" i="1"/>
  <c r="B48" i="1"/>
  <c r="C57" i="1"/>
  <c r="C49" i="1"/>
  <c r="B29" i="1"/>
  <c r="B55" i="1"/>
  <c r="B47" i="1"/>
  <c r="C56" i="1"/>
  <c r="C48" i="1"/>
  <c r="B53" i="1"/>
  <c r="B45" i="1"/>
  <c r="C54" i="1"/>
  <c r="C22" i="1"/>
  <c r="D22" i="1" s="1"/>
  <c r="E22" i="1" s="1"/>
  <c r="C37" i="1"/>
  <c r="D37" i="1" s="1"/>
  <c r="E37" i="1" s="1"/>
  <c r="B36" i="1"/>
  <c r="B28" i="1"/>
  <c r="C36" i="1"/>
  <c r="D36" i="1" s="1"/>
  <c r="E36" i="1" s="1"/>
  <c r="C28" i="1"/>
  <c r="D28" i="1" s="1"/>
  <c r="E28" i="1" s="1"/>
  <c r="B35" i="1"/>
  <c r="B27" i="1"/>
  <c r="C35" i="1"/>
  <c r="D35" i="1" s="1"/>
  <c r="E35" i="1" s="1"/>
  <c r="C27" i="1"/>
  <c r="D27" i="1" s="1"/>
  <c r="E27" i="1" s="1"/>
  <c r="B26" i="1"/>
  <c r="B37" i="1"/>
  <c r="C29" i="1"/>
  <c r="D29" i="1" s="1"/>
  <c r="E29" i="1" s="1"/>
  <c r="B34" i="1"/>
  <c r="C34" i="1"/>
  <c r="D34" i="1" s="1"/>
  <c r="E34" i="1" s="1"/>
  <c r="C26" i="1"/>
  <c r="D26" i="1" s="1"/>
  <c r="E26" i="1" s="1"/>
  <c r="B33" i="1"/>
  <c r="B25" i="1"/>
  <c r="C33" i="1"/>
  <c r="D33" i="1" s="1"/>
  <c r="E33" i="1" s="1"/>
  <c r="C25" i="1"/>
  <c r="D25" i="1" s="1"/>
  <c r="E25" i="1" s="1"/>
  <c r="C30" i="1"/>
  <c r="D30" i="1" s="1"/>
  <c r="E30" i="1" s="1"/>
  <c r="B32" i="1"/>
  <c r="B24" i="1"/>
  <c r="C32" i="1"/>
  <c r="D32" i="1" s="1"/>
  <c r="E32" i="1" s="1"/>
  <c r="C24" i="1"/>
  <c r="D24" i="1" s="1"/>
  <c r="E24" i="1" s="1"/>
  <c r="B31" i="1"/>
  <c r="B23" i="1"/>
  <c r="C31" i="1"/>
  <c r="D31" i="1" s="1"/>
  <c r="E31" i="1" s="1"/>
  <c r="C23" i="1"/>
  <c r="D23" i="1" s="1"/>
  <c r="E23" i="1" s="1"/>
  <c r="B30" i="1"/>
  <c r="E136" i="1" l="1"/>
  <c r="G68" i="1"/>
  <c r="H68" i="1" s="1"/>
  <c r="C69" i="1"/>
  <c r="G69" i="1" s="1"/>
  <c r="H69" i="1" s="1"/>
  <c r="I69" i="1" s="1"/>
  <c r="D93" i="1"/>
  <c r="F93" i="1" s="1"/>
  <c r="F88" i="1"/>
  <c r="G88" i="1" s="1"/>
  <c r="C89" i="1"/>
  <c r="C90" i="1" s="1"/>
  <c r="F89" i="1"/>
  <c r="E48" i="1"/>
  <c r="D48" i="1" s="1"/>
  <c r="E56" i="1"/>
  <c r="D56" i="1" s="1"/>
  <c r="E51" i="1"/>
  <c r="D51" i="1" s="1"/>
  <c r="E45" i="1"/>
  <c r="D45" i="1" s="1"/>
  <c r="E59" i="1"/>
  <c r="D59" i="1" s="1"/>
  <c r="E47" i="1"/>
  <c r="D47" i="1" s="1"/>
  <c r="E50" i="1"/>
  <c r="D50" i="1" s="1"/>
  <c r="E53" i="1"/>
  <c r="D53" i="1" s="1"/>
  <c r="E49" i="1"/>
  <c r="D49" i="1" s="1"/>
  <c r="E55" i="1"/>
  <c r="D55" i="1" s="1"/>
  <c r="E54" i="1"/>
  <c r="D54" i="1" s="1"/>
  <c r="E52" i="1"/>
  <c r="D52" i="1" s="1"/>
  <c r="E57" i="1"/>
  <c r="D57" i="1" s="1"/>
  <c r="E44" i="1"/>
  <c r="D44" i="1" s="1"/>
  <c r="E58" i="1"/>
  <c r="D58" i="1" s="1"/>
  <c r="E137" i="1" l="1"/>
  <c r="I68" i="1"/>
  <c r="C70" i="1"/>
  <c r="G70" i="1" s="1"/>
  <c r="H70" i="1" s="1"/>
  <c r="I70" i="1" s="1"/>
  <c r="D94" i="1"/>
  <c r="F94" i="1" s="1"/>
  <c r="H88" i="1"/>
  <c r="I88" i="1" s="1"/>
  <c r="C91" i="1"/>
  <c r="G90" i="1"/>
  <c r="H90" i="1" s="1"/>
  <c r="I90" i="1" s="1"/>
  <c r="G89" i="1"/>
  <c r="H89" i="1" s="1"/>
  <c r="I89" i="1" s="1"/>
  <c r="E138" i="1" l="1"/>
  <c r="C71" i="1"/>
  <c r="G71" i="1" s="1"/>
  <c r="H71" i="1" s="1"/>
  <c r="I71" i="1" s="1"/>
  <c r="D95" i="1"/>
  <c r="F95" i="1" s="1"/>
  <c r="C92" i="1"/>
  <c r="G91" i="1"/>
  <c r="H91" i="1" s="1"/>
  <c r="I91" i="1" s="1"/>
  <c r="E139" i="1" l="1"/>
  <c r="C72" i="1"/>
  <c r="G72" i="1" s="1"/>
  <c r="H72" i="1" s="1"/>
  <c r="I72" i="1" s="1"/>
  <c r="D96" i="1"/>
  <c r="F96" i="1" s="1"/>
  <c r="C93" i="1"/>
  <c r="G92" i="1"/>
  <c r="H92" i="1" s="1"/>
  <c r="I92" i="1" s="1"/>
  <c r="E140" i="1" l="1"/>
  <c r="C73" i="1"/>
  <c r="D97" i="1"/>
  <c r="F97" i="1" s="1"/>
  <c r="C94" i="1"/>
  <c r="G93" i="1"/>
  <c r="H93" i="1" s="1"/>
  <c r="I93" i="1" s="1"/>
  <c r="E141" i="1" l="1"/>
  <c r="G73" i="1"/>
  <c r="H73" i="1" s="1"/>
  <c r="I73" i="1" s="1"/>
  <c r="C74" i="1"/>
  <c r="D98" i="1"/>
  <c r="F98" i="1" s="1"/>
  <c r="G94" i="1"/>
  <c r="H94" i="1" s="1"/>
  <c r="I94" i="1" s="1"/>
  <c r="C95" i="1"/>
  <c r="E142" i="1" l="1"/>
  <c r="G74" i="1"/>
  <c r="H74" i="1" s="1"/>
  <c r="I74" i="1" s="1"/>
  <c r="C75" i="1"/>
  <c r="D99" i="1"/>
  <c r="F99" i="1" s="1"/>
  <c r="G95" i="1"/>
  <c r="H95" i="1" s="1"/>
  <c r="I95" i="1" s="1"/>
  <c r="C96" i="1"/>
  <c r="E143" i="1" l="1"/>
  <c r="G75" i="1"/>
  <c r="H75" i="1" s="1"/>
  <c r="I75" i="1" s="1"/>
  <c r="C76" i="1"/>
  <c r="D100" i="1"/>
  <c r="F100" i="1" s="1"/>
  <c r="C97" i="1"/>
  <c r="G96" i="1"/>
  <c r="H96" i="1" s="1"/>
  <c r="I96" i="1" s="1"/>
  <c r="E144" i="1" l="1"/>
  <c r="G76" i="1"/>
  <c r="H76" i="1" s="1"/>
  <c r="I76" i="1" s="1"/>
  <c r="C77" i="1"/>
  <c r="D101" i="1"/>
  <c r="F101" i="1" s="1"/>
  <c r="G97" i="1"/>
  <c r="H97" i="1" s="1"/>
  <c r="I97" i="1" s="1"/>
  <c r="C98" i="1"/>
  <c r="E145" i="1" l="1"/>
  <c r="G77" i="1"/>
  <c r="H77" i="1" s="1"/>
  <c r="I77" i="1" s="1"/>
  <c r="C78" i="1"/>
  <c r="D102" i="1"/>
  <c r="F102" i="1" s="1"/>
  <c r="D103" i="1"/>
  <c r="F103" i="1" s="1"/>
  <c r="C99" i="1"/>
  <c r="G98" i="1"/>
  <c r="H98" i="1" s="1"/>
  <c r="I98" i="1" s="1"/>
  <c r="E146" i="1" l="1"/>
  <c r="G78" i="1"/>
  <c r="H78" i="1" s="1"/>
  <c r="I78" i="1" s="1"/>
  <c r="C79" i="1"/>
  <c r="G99" i="1"/>
  <c r="H99" i="1" s="1"/>
  <c r="I99" i="1" s="1"/>
  <c r="C100" i="1"/>
  <c r="G79" i="1" l="1"/>
  <c r="H79" i="1" s="1"/>
  <c r="I79" i="1" s="1"/>
  <c r="C80" i="1"/>
  <c r="G100" i="1"/>
  <c r="H100" i="1" s="1"/>
  <c r="I100" i="1" s="1"/>
  <c r="C101" i="1"/>
  <c r="G80" i="1" l="1"/>
  <c r="H80" i="1" s="1"/>
  <c r="I80" i="1" s="1"/>
  <c r="C81" i="1"/>
  <c r="C102" i="1"/>
  <c r="G101" i="1"/>
  <c r="H101" i="1" s="1"/>
  <c r="I101" i="1" s="1"/>
  <c r="G81" i="1" l="1"/>
  <c r="H81" i="1" s="1"/>
  <c r="I81" i="1" s="1"/>
  <c r="C82" i="1"/>
  <c r="G102" i="1"/>
  <c r="H102" i="1" s="1"/>
  <c r="I102" i="1" s="1"/>
  <c r="C103" i="1"/>
  <c r="G103" i="1" s="1"/>
  <c r="H103" i="1" s="1"/>
  <c r="I103" i="1" s="1"/>
  <c r="G82" i="1" l="1"/>
  <c r="H82" i="1" s="1"/>
  <c r="I82" i="1" s="1"/>
  <c r="C83" i="1"/>
  <c r="G83" i="1" s="1"/>
  <c r="H83" i="1" s="1"/>
  <c r="I83" i="1" s="1"/>
  <c r="C181" i="1"/>
  <c r="D180" i="1" l="1"/>
  <c r="B182" i="1" s="1"/>
  <c r="C182" i="1" l="1"/>
  <c r="D181" i="1" s="1"/>
  <c r="B183" i="1" s="1"/>
  <c r="C183" i="1" s="1"/>
  <c r="E180" i="1"/>
  <c r="F180" i="1" l="1"/>
  <c r="E181" i="1"/>
  <c r="D182" i="1"/>
  <c r="B184" i="1" s="1"/>
  <c r="F181" i="1" l="1"/>
  <c r="C184" i="1"/>
  <c r="D183" i="1" s="1"/>
  <c r="E183" i="1" s="1"/>
  <c r="E182" i="1"/>
  <c r="F182" i="1" l="1"/>
  <c r="F183" i="1"/>
  <c r="B185" i="1"/>
  <c r="C185" i="1" s="1"/>
  <c r="D184" i="1" s="1"/>
  <c r="E184" i="1" l="1"/>
  <c r="B186" i="1"/>
  <c r="F184" i="1" l="1"/>
  <c r="C186" i="1"/>
  <c r="D185" i="1" s="1"/>
  <c r="B187" i="1" s="1"/>
  <c r="C187" i="1" s="1"/>
  <c r="D186" i="1" s="1"/>
  <c r="E186" i="1" s="1"/>
  <c r="F186" i="1" l="1"/>
  <c r="E185" i="1"/>
  <c r="B188" i="1"/>
  <c r="F185" i="1" l="1"/>
  <c r="C188" i="1"/>
  <c r="D187" i="1" s="1"/>
  <c r="B189" i="1" l="1"/>
  <c r="E187" i="1"/>
  <c r="F187" i="1" l="1"/>
  <c r="C189" i="1"/>
  <c r="D188" i="1" s="1"/>
  <c r="B190" i="1" l="1"/>
  <c r="E188" i="1"/>
  <c r="F188" i="1" l="1"/>
  <c r="C190" i="1"/>
  <c r="D189" i="1" s="1"/>
  <c r="B191" i="1" l="1"/>
  <c r="E189" i="1"/>
  <c r="F189" i="1" l="1"/>
  <c r="C191" i="1"/>
  <c r="D190" i="1" s="1"/>
  <c r="B192" i="1" l="1"/>
  <c r="E190" i="1"/>
  <c r="F190" i="1" l="1"/>
  <c r="C192" i="1"/>
  <c r="D191" i="1" s="1"/>
  <c r="B193" i="1" l="1"/>
  <c r="E191" i="1"/>
  <c r="F191" i="1" l="1"/>
  <c r="C193" i="1"/>
  <c r="D192" i="1" s="1"/>
  <c r="B194" i="1" l="1"/>
  <c r="E192" i="1"/>
  <c r="F192" i="1" s="1"/>
  <c r="C194" i="1" l="1"/>
  <c r="D193" i="1" s="1"/>
  <c r="B195" i="1" l="1"/>
  <c r="E193" i="1"/>
  <c r="F193" i="1" s="1"/>
  <c r="C195" i="1" l="1"/>
  <c r="D194" i="1" s="1"/>
  <c r="E194" i="1" l="1"/>
  <c r="F194" i="1" s="1"/>
  <c r="B196" i="1"/>
  <c r="C196" i="1" s="1"/>
  <c r="D195" i="1" s="1"/>
  <c r="E195" i="1" s="1"/>
  <c r="F195" i="1" s="1"/>
</calcChain>
</file>

<file path=xl/sharedStrings.xml><?xml version="1.0" encoding="utf-8"?>
<sst xmlns="http://schemas.openxmlformats.org/spreadsheetml/2006/main" count="145" uniqueCount="66">
  <si>
    <t>User Type</t>
  </si>
  <si>
    <t>Bandwidth</t>
  </si>
  <si>
    <t>Disk Space</t>
  </si>
  <si>
    <t>Memory</t>
  </si>
  <si>
    <t>Power</t>
  </si>
  <si>
    <t>1st percentile</t>
  </si>
  <si>
    <t>∞</t>
  </si>
  <si>
    <t>10th percentile</t>
  </si>
  <si>
    <t>90th percentile</t>
  </si>
  <si>
    <t>Initial Block Download</t>
  </si>
  <si>
    <t>Target User:</t>
  </si>
  <si>
    <t>t (years)</t>
  </si>
  <si>
    <t>Growth</t>
  </si>
  <si>
    <t>syncTime</t>
  </si>
  <si>
    <t>CPU power</t>
  </si>
  <si>
    <t>Constants:</t>
  </si>
  <si>
    <t>Seconds/year</t>
  </si>
  <si>
    <t>Megabit/GB</t>
  </si>
  <si>
    <t>Max Growth</t>
  </si>
  <si>
    <t>Sync Time</t>
  </si>
  <si>
    <t xml:space="preserve"> Resources</t>
  </si>
  <si>
    <t>Max Blocksize</t>
  </si>
  <si>
    <t>Seconds/block</t>
  </si>
  <si>
    <t>KB/GB</t>
  </si>
  <si>
    <t>Max Blockchain Size</t>
  </si>
  <si>
    <t>Tps</t>
  </si>
  <si>
    <t>Avg Transaction Size</t>
  </si>
  <si>
    <t>Max Transactions</t>
  </si>
  <si>
    <t>Initial Sync Validation (without assumevalid)</t>
  </si>
  <si>
    <t>Assumevalid</t>
  </si>
  <si>
    <t>speedup</t>
  </si>
  <si>
    <t xml:space="preserve">Assumevalid date </t>
  </si>
  <si>
    <t>(max days ago)</t>
  </si>
  <si>
    <t>Initial Sync Validation (with assumevalid)</t>
  </si>
  <si>
    <t>transactions</t>
  </si>
  <si>
    <t>Non Assumevalid</t>
  </si>
  <si>
    <t>Transactions</t>
  </si>
  <si>
    <t>Adjusted</t>
  </si>
  <si>
    <t>Equivalent</t>
  </si>
  <si>
    <t>Max</t>
  </si>
  <si>
    <t>Blocksize</t>
  </si>
  <si>
    <t>UTXO</t>
  </si>
  <si>
    <t>Growth Rate</t>
  </si>
  <si>
    <t>UTXO Size</t>
  </si>
  <si>
    <t>Size of Current</t>
  </si>
  <si>
    <t>UTXO Set</t>
  </si>
  <si>
    <t>Ongoing</t>
  </si>
  <si>
    <t>Blockchain size</t>
  </si>
  <si>
    <t>Max Blockchain</t>
  </si>
  <si>
    <t>Near-Optimal</t>
  </si>
  <si>
    <t>UTXO Memory %</t>
  </si>
  <si>
    <t>In-Memory</t>
  </si>
  <si>
    <t>Expand</t>
  </si>
  <si>
    <t>Memory Use</t>
  </si>
  <si>
    <t>Max UTXO</t>
  </si>
  <si>
    <t>Near-Upper Bound</t>
  </si>
  <si>
    <t>Expected</t>
  </si>
  <si>
    <t>Size</t>
  </si>
  <si>
    <t>UTXO Set Disk Usage</t>
  </si>
  <si>
    <t>UTXO Set Memory Usage</t>
  </si>
  <si>
    <t>Blockchain &amp; UTXO Disk Usage</t>
  </si>
  <si>
    <t>Disk Use</t>
  </si>
  <si>
    <t>Current</t>
  </si>
  <si>
    <t>Current Max</t>
  </si>
  <si>
    <t>Blockchain Growth</t>
  </si>
  <si>
    <t>Ongoing Transaction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</si>
</sst>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(* #,##0.00_);_(* \(#,##0.00\);_(* &quot;-&quot;??_);_(@_)"/>
    <numFmt numFmtId="164" formatCode="_(* #,##0_);_(* \(#,##0\);_(* &quot;-&quot;??_);_(@_)"/>
    <numFmt numFmtId="165" formatCode="0\ &quot;days&quot;"/>
    <numFmt numFmtId="166" formatCode="#,###\ &quot;tps&quot;"/>
    <numFmt numFmtId="167" formatCode="#\ &quot;GB&quot;"/>
    <numFmt numFmtId="168" formatCode="#,###\ &quot;Mbps&quot;"/>
    <numFmt numFmtId="169" formatCode="0.0"/>
    <numFmt numFmtId="170" formatCode="#,###\ &quot;GB&quot;"/>
    <numFmt numFmtId="171" formatCode="#,###\ &quot;GB/year&quot;"/>
    <numFmt numFmtId="172" formatCode="#,###\ &quot;KB&quot;"/>
    <numFmt numFmtId="173" formatCode="#\ &quot;bytes&quot;"/>
    <numFmt numFmtId="174" formatCode="#"/>
    <numFmt numFmtId="175" formatCode="#,###\ &quot;million&quot;"/>
    <numFmt numFmtId="176" formatCode="#\ &quot;KB&quot;"/>
    <numFmt numFmtId="177" formatCode="#\ &quot;days&quot;"/>
    <numFmt numFmtId="178" formatCode="#,###\ &quot;million/year&quot;"/>
    <numFmt numFmtId="179" formatCode="#.0\ &quot;days&quot;"/>
    <numFmt numFmtId="180" formatCode="0%&quot;/year&quot;"/>
    <numFmt numFmtId="181" formatCode="#,###.0\ &quot;GB&quot;"/>
    <numFmt numFmtId="182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9" fontId="0" fillId="0" borderId="0" xfId="0" applyNumberFormat="1"/>
    <xf numFmtId="170" fontId="0" fillId="0" borderId="0" xfId="1" applyNumberFormat="1" applyFont="1"/>
    <xf numFmtId="171" fontId="0" fillId="0" borderId="0" xfId="0" applyNumberFormat="1"/>
    <xf numFmtId="172" fontId="0" fillId="0" borderId="0" xfId="0" applyNumberFormat="1"/>
    <xf numFmtId="174" fontId="0" fillId="0" borderId="0" xfId="0" applyNumberFormat="1"/>
    <xf numFmtId="0" fontId="2" fillId="0" borderId="0" xfId="0" applyFont="1" applyAlignment="1">
      <alignment horizontal="left"/>
    </xf>
    <xf numFmtId="175" fontId="0" fillId="0" borderId="0" xfId="1" applyNumberFormat="1" applyFont="1"/>
    <xf numFmtId="176" fontId="0" fillId="0" borderId="0" xfId="0" applyNumberFormat="1"/>
    <xf numFmtId="170" fontId="2" fillId="0" borderId="0" xfId="1" applyNumberFormat="1" applyFont="1"/>
    <xf numFmtId="175" fontId="2" fillId="0" borderId="0" xfId="1" applyNumberFormat="1" applyFont="1"/>
    <xf numFmtId="168" fontId="0" fillId="2" borderId="0" xfId="1" applyNumberFormat="1" applyFont="1" applyFill="1"/>
    <xf numFmtId="167" fontId="0" fillId="2" borderId="0" xfId="1" applyNumberFormat="1" applyFont="1" applyFill="1"/>
    <xf numFmtId="166" fontId="0" fillId="2" borderId="0" xfId="1" applyNumberFormat="1" applyFont="1" applyFill="1"/>
    <xf numFmtId="0" fontId="3" fillId="2" borderId="0" xfId="0" applyFont="1" applyFill="1" applyAlignment="1">
      <alignment horizontal="center"/>
    </xf>
    <xf numFmtId="165" fontId="0" fillId="2" borderId="0" xfId="1" applyNumberFormat="1" applyFont="1" applyFill="1"/>
    <xf numFmtId="9" fontId="0" fillId="2" borderId="0" xfId="0" applyNumberFormat="1" applyFill="1"/>
    <xf numFmtId="0" fontId="0" fillId="2" borderId="0" xfId="0" applyFill="1"/>
    <xf numFmtId="173" fontId="0" fillId="2" borderId="0" xfId="0" applyNumberFormat="1" applyFill="1"/>
    <xf numFmtId="177" fontId="0" fillId="2" borderId="0" xfId="0" applyNumberFormat="1" applyFill="1"/>
    <xf numFmtId="178" fontId="0" fillId="0" borderId="0" xfId="0" applyNumberFormat="1"/>
    <xf numFmtId="0" fontId="4" fillId="2" borderId="0" xfId="0" applyFont="1" applyFill="1"/>
    <xf numFmtId="179" fontId="0" fillId="0" borderId="1" xfId="0" applyNumberFormat="1" applyBorder="1"/>
    <xf numFmtId="0" fontId="0" fillId="0" borderId="0" xfId="0" applyAlignment="1">
      <alignment horizontal="center"/>
    </xf>
    <xf numFmtId="175" fontId="0" fillId="2" borderId="0" xfId="1" applyNumberFormat="1" applyFont="1" applyFill="1"/>
    <xf numFmtId="175" fontId="2" fillId="2" borderId="0" xfId="1" applyNumberFormat="1" applyFont="1" applyFill="1"/>
    <xf numFmtId="175" fontId="1" fillId="0" borderId="0" xfId="1" applyNumberFormat="1" applyFont="1"/>
    <xf numFmtId="0" fontId="5" fillId="2" borderId="0" xfId="0" applyFont="1" applyFill="1"/>
    <xf numFmtId="9" fontId="0" fillId="0" borderId="0" xfId="2" applyFont="1"/>
    <xf numFmtId="180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6" fillId="0" borderId="0" xfId="0" applyFont="1"/>
    <xf numFmtId="170" fontId="6" fillId="0" borderId="0" xfId="1" applyNumberFormat="1" applyFont="1"/>
    <xf numFmtId="167" fontId="6" fillId="0" borderId="0" xfId="0" applyNumberFormat="1" applyFont="1"/>
    <xf numFmtId="0" fontId="7" fillId="0" borderId="0" xfId="0" applyFont="1" applyAlignment="1">
      <alignment horizontal="center"/>
    </xf>
    <xf numFmtId="181" fontId="0" fillId="0" borderId="0" xfId="1" applyNumberFormat="1" applyFont="1"/>
    <xf numFmtId="182" fontId="0" fillId="3" borderId="0" xfId="0" applyNumberFormat="1" applyFill="1"/>
    <xf numFmtId="170" fontId="0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6.517388451443569E-2"/>
          <c:w val="0.68381342957130353"/>
          <c:h val="0.7942848459732007"/>
        </c:manualLayout>
      </c:layout>
      <c:lineChart>
        <c:grouping val="standard"/>
        <c:varyColors val="0"/>
        <c:ser>
          <c:idx val="0"/>
          <c:order val="1"/>
          <c:tx>
            <c:strRef>
              <c:f>Sheet1!$B$21</c:f>
              <c:strCache>
                <c:ptCount val="1"/>
                <c:pt idx="0">
                  <c:v>Max Blockchain Size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Sheet1!$B$22:$B$37</c:f>
              <c:numCache>
                <c:formatCode>#,###\ "GB"</c:formatCode>
                <c:ptCount val="16"/>
                <c:pt idx="0">
                  <c:v>56.7</c:v>
                </c:pt>
                <c:pt idx="1">
                  <c:v>70.875</c:v>
                </c:pt>
                <c:pt idx="2">
                  <c:v>88.59375</c:v>
                </c:pt>
                <c:pt idx="3">
                  <c:v>110.7421875</c:v>
                </c:pt>
                <c:pt idx="4">
                  <c:v>138.427734375</c:v>
                </c:pt>
                <c:pt idx="5">
                  <c:v>173.03466796875</c:v>
                </c:pt>
                <c:pt idx="6">
                  <c:v>216.2933349609375</c:v>
                </c:pt>
                <c:pt idx="7">
                  <c:v>270.36666870117187</c:v>
                </c:pt>
                <c:pt idx="8">
                  <c:v>337.95833587646484</c:v>
                </c:pt>
                <c:pt idx="9">
                  <c:v>422.44791984558105</c:v>
                </c:pt>
                <c:pt idx="10">
                  <c:v>528.05989980697632</c:v>
                </c:pt>
                <c:pt idx="11">
                  <c:v>660.0748747587204</c:v>
                </c:pt>
                <c:pt idx="12">
                  <c:v>825.0935934484005</c:v>
                </c:pt>
                <c:pt idx="13">
                  <c:v>1031.3669918105006</c:v>
                </c:pt>
                <c:pt idx="14">
                  <c:v>1289.2087397631258</c:v>
                </c:pt>
                <c:pt idx="15">
                  <c:v>1611.5109247039072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69696"/>
        <c:axId val="151875968"/>
      </c:lineChart>
      <c:lineChart>
        <c:grouping val="standard"/>
        <c:varyColors val="0"/>
        <c:ser>
          <c:idx val="2"/>
          <c:order val="0"/>
          <c:tx>
            <c:strRef>
              <c:f>Sheet1!$D$21</c:f>
              <c:strCache>
                <c:ptCount val="1"/>
                <c:pt idx="0">
                  <c:v>Max Blocksize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Sheet1!$D$22:$D$37</c:f>
              <c:numCache>
                <c:formatCode>#,###\ "KB"</c:formatCode>
                <c:ptCount val="16"/>
                <c:pt idx="0">
                  <c:v>240.71992693142499</c:v>
                </c:pt>
                <c:pt idx="1">
                  <c:v>300.89990866428116</c:v>
                </c:pt>
                <c:pt idx="2">
                  <c:v>376.12488583035162</c:v>
                </c:pt>
                <c:pt idx="3">
                  <c:v>470.15610728793939</c:v>
                </c:pt>
                <c:pt idx="4">
                  <c:v>587.69513410992431</c:v>
                </c:pt>
                <c:pt idx="5">
                  <c:v>734.61891763740527</c:v>
                </c:pt>
                <c:pt idx="6">
                  <c:v>918.27364704675665</c:v>
                </c:pt>
                <c:pt idx="7">
                  <c:v>1147.8420588084459</c:v>
                </c:pt>
                <c:pt idx="8">
                  <c:v>1434.8025735105573</c:v>
                </c:pt>
                <c:pt idx="9">
                  <c:v>1793.5032168881967</c:v>
                </c:pt>
                <c:pt idx="10">
                  <c:v>2241.8790211102464</c:v>
                </c:pt>
                <c:pt idx="11">
                  <c:v>2802.348776387807</c:v>
                </c:pt>
                <c:pt idx="12">
                  <c:v>3502.9359704847589</c:v>
                </c:pt>
                <c:pt idx="13">
                  <c:v>4378.6699631059482</c:v>
                </c:pt>
                <c:pt idx="14">
                  <c:v>5473.3374538824364</c:v>
                </c:pt>
                <c:pt idx="15">
                  <c:v>6841.6718173530453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79040"/>
        <c:axId val="151877504"/>
      </c:lineChart>
      <c:catAx>
        <c:axId val="15186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875968"/>
        <c:crosses val="autoZero"/>
        <c:auto val="1"/>
        <c:lblAlgn val="ctr"/>
        <c:lblOffset val="100"/>
        <c:noMultiLvlLbl val="0"/>
      </c:catAx>
      <c:valAx>
        <c:axId val="151875968"/>
        <c:scaling>
          <c:orientation val="minMax"/>
        </c:scaling>
        <c:delete val="0"/>
        <c:axPos val="l"/>
        <c:majorGridlines/>
        <c:numFmt formatCode="#,###\ &quot;G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tx2"/>
                </a:solidFill>
              </a:defRPr>
            </a:pPr>
            <a:endParaRPr lang="en-US"/>
          </a:p>
        </c:txPr>
        <c:crossAx val="151869696"/>
        <c:crosses val="autoZero"/>
        <c:crossBetween val="between"/>
      </c:valAx>
      <c:valAx>
        <c:axId val="151877504"/>
        <c:scaling>
          <c:orientation val="minMax"/>
        </c:scaling>
        <c:delete val="0"/>
        <c:axPos val="r"/>
        <c:numFmt formatCode="#,###\ &quot;KB&quot;" sourceLinked="1"/>
        <c:majorTickMark val="out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51879040"/>
        <c:crosses val="max"/>
        <c:crossBetween val="between"/>
      </c:valAx>
      <c:catAx>
        <c:axId val="15187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87750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0106848908037436"/>
          <c:y val="0.25869564550045282"/>
          <c:w val="0.36363115931263312"/>
          <c:h val="0.140997375328083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59413839741069"/>
          <c:y val="6.517388451443569E-2"/>
          <c:w val="0.66182031264882168"/>
          <c:h val="0.7942848459732007"/>
        </c:manualLayout>
      </c:layout>
      <c:lineChart>
        <c:grouping val="standard"/>
        <c:varyColors val="0"/>
        <c:ser>
          <c:idx val="0"/>
          <c:order val="1"/>
          <c:tx>
            <c:strRef>
              <c:f>Sheet1!$B$43</c:f>
              <c:strCache>
                <c:ptCount val="1"/>
                <c:pt idx="0">
                  <c:v>Max Transactions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Sheet1!$B$44:$B$59</c:f>
              <c:numCache>
                <c:formatCode>#,###\ "million"</c:formatCode>
                <c:ptCount val="16"/>
                <c:pt idx="0">
                  <c:v>90.72</c:v>
                </c:pt>
                <c:pt idx="1">
                  <c:v>106.14239999999999</c:v>
                </c:pt>
                <c:pt idx="2">
                  <c:v>124.18660799999998</c:v>
                </c:pt>
                <c:pt idx="3">
                  <c:v>145.29833135999999</c:v>
                </c:pt>
                <c:pt idx="4">
                  <c:v>169.99904769119996</c:v>
                </c:pt>
                <c:pt idx="5">
                  <c:v>198.8988857987039</c:v>
                </c:pt>
                <c:pt idx="6">
                  <c:v>232.71169638448359</c:v>
                </c:pt>
                <c:pt idx="7">
                  <c:v>272.27268476984574</c:v>
                </c:pt>
                <c:pt idx="8">
                  <c:v>318.55904118071953</c:v>
                </c:pt>
                <c:pt idx="9">
                  <c:v>372.71407818144172</c:v>
                </c:pt>
                <c:pt idx="10">
                  <c:v>436.07547147228695</c:v>
                </c:pt>
                <c:pt idx="11">
                  <c:v>510.20830162257562</c:v>
                </c:pt>
                <c:pt idx="12">
                  <c:v>596.94371289841331</c:v>
                </c:pt>
                <c:pt idx="13">
                  <c:v>698.4241440911436</c:v>
                </c:pt>
                <c:pt idx="14">
                  <c:v>817.15624858663818</c:v>
                </c:pt>
                <c:pt idx="15">
                  <c:v>956.07281084636656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95840"/>
        <c:axId val="135797760"/>
      </c:lineChart>
      <c:lineChart>
        <c:grouping val="standard"/>
        <c:varyColors val="0"/>
        <c:ser>
          <c:idx val="2"/>
          <c:order val="0"/>
          <c:tx>
            <c:strRef>
              <c:f>Sheet1!$D$43</c:f>
              <c:strCache>
                <c:ptCount val="1"/>
                <c:pt idx="0">
                  <c:v>Max Blocksize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Sheet1!$D$44:$D$59</c:f>
              <c:numCache>
                <c:formatCode>#\ "KB"</c:formatCode>
                <c:ptCount val="16"/>
                <c:pt idx="0">
                  <c:v>128.72156666107443</c:v>
                </c:pt>
                <c:pt idx="1">
                  <c:v>150.60423299345706</c:v>
                </c:pt>
                <c:pt idx="2">
                  <c:v>176.20695260234473</c:v>
                </c:pt>
                <c:pt idx="3">
                  <c:v>206.16213454474334</c:v>
                </c:pt>
                <c:pt idx="4">
                  <c:v>241.20969741734967</c:v>
                </c:pt>
                <c:pt idx="5">
                  <c:v>282.21534597829907</c:v>
                </c:pt>
                <c:pt idx="6">
                  <c:v>330.1919547946099</c:v>
                </c:pt>
                <c:pt idx="7">
                  <c:v>386.3245871096936</c:v>
                </c:pt>
                <c:pt idx="8">
                  <c:v>451.99976691834138</c:v>
                </c:pt>
                <c:pt idx="9">
                  <c:v>528.83972729445941</c:v>
                </c:pt>
                <c:pt idx="10">
                  <c:v>618.74248093451774</c:v>
                </c:pt>
                <c:pt idx="11">
                  <c:v>723.9287026933855</c:v>
                </c:pt>
                <c:pt idx="12">
                  <c:v>846.9965821512609</c:v>
                </c:pt>
                <c:pt idx="13">
                  <c:v>990.98600111697533</c:v>
                </c:pt>
                <c:pt idx="14">
                  <c:v>1159.4536213068609</c:v>
                </c:pt>
                <c:pt idx="15">
                  <c:v>1356.5607369290271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05184"/>
        <c:axId val="135803648"/>
      </c:lineChart>
      <c:catAx>
        <c:axId val="13579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797760"/>
        <c:crosses val="autoZero"/>
        <c:auto val="1"/>
        <c:lblAlgn val="ctr"/>
        <c:lblOffset val="100"/>
        <c:noMultiLvlLbl val="0"/>
      </c:catAx>
      <c:valAx>
        <c:axId val="135797760"/>
        <c:scaling>
          <c:orientation val="minMax"/>
        </c:scaling>
        <c:delete val="0"/>
        <c:axPos val="l"/>
        <c:majorGridlines/>
        <c:numFmt formatCode="#,###\ &quot;million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tx2"/>
                </a:solidFill>
              </a:defRPr>
            </a:pPr>
            <a:endParaRPr lang="en-US"/>
          </a:p>
        </c:txPr>
        <c:crossAx val="135795840"/>
        <c:crosses val="autoZero"/>
        <c:crossBetween val="between"/>
      </c:valAx>
      <c:valAx>
        <c:axId val="135803648"/>
        <c:scaling>
          <c:orientation val="minMax"/>
        </c:scaling>
        <c:delete val="0"/>
        <c:axPos val="r"/>
        <c:numFmt formatCode="#\ &quot;KB&quot;" sourceLinked="1"/>
        <c:majorTickMark val="out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35805184"/>
        <c:crosses val="max"/>
        <c:crossBetween val="between"/>
      </c:valAx>
      <c:catAx>
        <c:axId val="135805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80364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0106848908037436"/>
          <c:y val="0.25869564550045282"/>
          <c:w val="0.36363115931263312"/>
          <c:h val="0.140997375328083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0.13574013554712344"/>
          <c:w val="0.68381342957130353"/>
          <c:h val="0.72371840706541213"/>
        </c:manualLayout>
      </c:layout>
      <c:lineChart>
        <c:grouping val="standard"/>
        <c:varyColors val="0"/>
        <c:ser>
          <c:idx val="0"/>
          <c:order val="1"/>
          <c:tx>
            <c:strRef>
              <c:f>Sheet1!$E$66:$E$67</c:f>
              <c:strCache>
                <c:ptCount val="1"/>
                <c:pt idx="0">
                  <c:v>Max Blocksize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Sheet1!$E$68:$E$83</c:f>
              <c:numCache>
                <c:formatCode>#\ "KB"</c:formatCode>
                <c:ptCount val="16"/>
                <c:pt idx="0">
                  <c:v>1396.5</c:v>
                </c:pt>
                <c:pt idx="1">
                  <c:v>1482</c:v>
                </c:pt>
                <c:pt idx="2">
                  <c:v>1596</c:v>
                </c:pt>
                <c:pt idx="3">
                  <c:v>1795.5</c:v>
                </c:pt>
                <c:pt idx="4">
                  <c:v>1995</c:v>
                </c:pt>
                <c:pt idx="5">
                  <c:v>2280</c:v>
                </c:pt>
                <c:pt idx="6">
                  <c:v>2622</c:v>
                </c:pt>
                <c:pt idx="7">
                  <c:v>3078</c:v>
                </c:pt>
                <c:pt idx="8">
                  <c:v>3562.5</c:v>
                </c:pt>
                <c:pt idx="9">
                  <c:v>4075.5</c:v>
                </c:pt>
                <c:pt idx="10">
                  <c:v>4845</c:v>
                </c:pt>
                <c:pt idx="11">
                  <c:v>5529</c:v>
                </c:pt>
                <c:pt idx="12">
                  <c:v>6555</c:v>
                </c:pt>
                <c:pt idx="13">
                  <c:v>7695</c:v>
                </c:pt>
                <c:pt idx="14">
                  <c:v>8835</c:v>
                </c:pt>
                <c:pt idx="15">
                  <c:v>10545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39744"/>
        <c:axId val="135841664"/>
      </c:lineChart>
      <c:lineChart>
        <c:grouping val="standard"/>
        <c:varyColors val="0"/>
        <c:ser>
          <c:idx val="2"/>
          <c:order val="0"/>
          <c:tx>
            <c:strRef>
              <c:f>Sheet1!$C$67</c:f>
              <c:strCache>
                <c:ptCount val="1"/>
                <c:pt idx="0">
                  <c:v>transactions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Sheet1!$C$68:$C$83</c:f>
              <c:numCache>
                <c:formatCode>#,###\ "million"</c:formatCode>
                <c:ptCount val="16"/>
                <c:pt idx="0">
                  <c:v>415</c:v>
                </c:pt>
                <c:pt idx="1">
                  <c:v>569.52639999999997</c:v>
                </c:pt>
                <c:pt idx="2">
                  <c:v>733.5136</c:v>
                </c:pt>
                <c:pt idx="3">
                  <c:v>910.11519999999996</c:v>
                </c:pt>
                <c:pt idx="4">
                  <c:v>1108.7919999999999</c:v>
                </c:pt>
                <c:pt idx="5">
                  <c:v>1329.5439999999999</c:v>
                </c:pt>
                <c:pt idx="6">
                  <c:v>1581.8319999999999</c:v>
                </c:pt>
                <c:pt idx="7">
                  <c:v>1871.9631999999999</c:v>
                </c:pt>
                <c:pt idx="8">
                  <c:v>2212.5519999999997</c:v>
                </c:pt>
                <c:pt idx="9">
                  <c:v>2606.7519999999995</c:v>
                </c:pt>
                <c:pt idx="10">
                  <c:v>3057.7167999999992</c:v>
                </c:pt>
                <c:pt idx="11">
                  <c:v>3593.8287999999993</c:v>
                </c:pt>
                <c:pt idx="12">
                  <c:v>4205.627199999999</c:v>
                </c:pt>
                <c:pt idx="13">
                  <c:v>4930.9551999999985</c:v>
                </c:pt>
                <c:pt idx="14">
                  <c:v>5782.4271999999983</c:v>
                </c:pt>
                <c:pt idx="15">
                  <c:v>6760.0431999999983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9088"/>
        <c:axId val="135843200"/>
      </c:lineChart>
      <c:catAx>
        <c:axId val="13583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841664"/>
        <c:crosses val="autoZero"/>
        <c:auto val="1"/>
        <c:lblAlgn val="ctr"/>
        <c:lblOffset val="100"/>
        <c:noMultiLvlLbl val="0"/>
      </c:catAx>
      <c:valAx>
        <c:axId val="135841664"/>
        <c:scaling>
          <c:orientation val="minMax"/>
        </c:scaling>
        <c:delete val="0"/>
        <c:axPos val="l"/>
        <c:majorGridlines/>
        <c:numFmt formatCode="#\ &quot;K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tx2"/>
                </a:solidFill>
              </a:defRPr>
            </a:pPr>
            <a:endParaRPr lang="en-US"/>
          </a:p>
        </c:txPr>
        <c:crossAx val="135839744"/>
        <c:crosses val="autoZero"/>
        <c:crossBetween val="between"/>
      </c:valAx>
      <c:valAx>
        <c:axId val="135843200"/>
        <c:scaling>
          <c:orientation val="minMax"/>
        </c:scaling>
        <c:delete val="0"/>
        <c:axPos val="r"/>
        <c:numFmt formatCode="#,###\ &quot;million&quot;" sourceLinked="1"/>
        <c:majorTickMark val="out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35849088"/>
        <c:crosses val="max"/>
        <c:crossBetween val="between"/>
      </c:valAx>
      <c:catAx>
        <c:axId val="13584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8432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5983140619236544"/>
          <c:y val="0.29583576426205777"/>
          <c:w val="0.36363115931263312"/>
          <c:h val="0.140997375328083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0.13574013554712344"/>
          <c:w val="0.68381342957130353"/>
          <c:h val="0.72371840706541213"/>
        </c:manualLayout>
      </c:layout>
      <c:lineChart>
        <c:grouping val="standard"/>
        <c:varyColors val="0"/>
        <c:ser>
          <c:idx val="0"/>
          <c:order val="1"/>
          <c:tx>
            <c:strRef>
              <c:f>Sheet1!$E$86:$E$87</c:f>
              <c:strCache>
                <c:ptCount val="1"/>
                <c:pt idx="0">
                  <c:v>Max Blocksize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Sheet1!$E$88:$E$103</c:f>
              <c:numCache>
                <c:formatCode>#\ "KB"</c:formatCode>
                <c:ptCount val="16"/>
                <c:pt idx="0">
                  <c:v>1197</c:v>
                </c:pt>
                <c:pt idx="1">
                  <c:v>1311</c:v>
                </c:pt>
                <c:pt idx="2">
                  <c:v>1482</c:v>
                </c:pt>
                <c:pt idx="3">
                  <c:v>1681.5</c:v>
                </c:pt>
                <c:pt idx="4">
                  <c:v>1909.5</c:v>
                </c:pt>
                <c:pt idx="5">
                  <c:v>2223</c:v>
                </c:pt>
                <c:pt idx="6">
                  <c:v>2565</c:v>
                </c:pt>
                <c:pt idx="7">
                  <c:v>2992.5</c:v>
                </c:pt>
                <c:pt idx="8">
                  <c:v>3477</c:v>
                </c:pt>
                <c:pt idx="9">
                  <c:v>4075.5</c:v>
                </c:pt>
                <c:pt idx="10">
                  <c:v>4731</c:v>
                </c:pt>
                <c:pt idx="11">
                  <c:v>5529</c:v>
                </c:pt>
                <c:pt idx="12">
                  <c:v>6555</c:v>
                </c:pt>
                <c:pt idx="13">
                  <c:v>7695</c:v>
                </c:pt>
                <c:pt idx="14">
                  <c:v>8835</c:v>
                </c:pt>
                <c:pt idx="15">
                  <c:v>10545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10496"/>
        <c:axId val="151612416"/>
      </c:lineChart>
      <c:lineChart>
        <c:grouping val="standard"/>
        <c:varyColors val="0"/>
        <c:ser>
          <c:idx val="2"/>
          <c:order val="0"/>
          <c:tx>
            <c:strRef>
              <c:f>Sheet1!$C$87</c:f>
              <c:strCache>
                <c:ptCount val="1"/>
                <c:pt idx="0">
                  <c:v>transactions</c:v>
                </c:pt>
              </c:strCache>
            </c:strRef>
          </c:tx>
          <c:marker>
            <c:symbol val="none"/>
          </c:marker>
          <c:cat>
            <c:numRef>
              <c:f>Sheet1!$A$22:$A$37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Sheet1!$C$88:$C$103</c:f>
              <c:numCache>
                <c:formatCode>#,###\ "million"</c:formatCode>
                <c:ptCount val="16"/>
                <c:pt idx="0">
                  <c:v>530</c:v>
                </c:pt>
                <c:pt idx="1">
                  <c:v>662.45119999999997</c:v>
                </c:pt>
                <c:pt idx="2">
                  <c:v>807.51679999999999</c:v>
                </c:pt>
                <c:pt idx="3">
                  <c:v>971.50400000000002</c:v>
                </c:pt>
                <c:pt idx="4">
                  <c:v>1157.5663999999999</c:v>
                </c:pt>
                <c:pt idx="5">
                  <c:v>1368.8575999999998</c:v>
                </c:pt>
                <c:pt idx="6">
                  <c:v>1614.8383999999999</c:v>
                </c:pt>
                <c:pt idx="7">
                  <c:v>1898.6623999999999</c:v>
                </c:pt>
                <c:pt idx="8">
                  <c:v>2229.7903999999999</c:v>
                </c:pt>
                <c:pt idx="9">
                  <c:v>2614.5295999999998</c:v>
                </c:pt>
                <c:pt idx="10">
                  <c:v>3065.4943999999996</c:v>
                </c:pt>
                <c:pt idx="11">
                  <c:v>3588.9919999999997</c:v>
                </c:pt>
                <c:pt idx="12">
                  <c:v>4200.7903999999999</c:v>
                </c:pt>
                <c:pt idx="13">
                  <c:v>4926.1183999999994</c:v>
                </c:pt>
                <c:pt idx="14">
                  <c:v>5777.5903999999991</c:v>
                </c:pt>
                <c:pt idx="15">
                  <c:v>6755.2063999999991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23936"/>
        <c:axId val="151622400"/>
      </c:lineChart>
      <c:catAx>
        <c:axId val="15161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612416"/>
        <c:crosses val="autoZero"/>
        <c:auto val="1"/>
        <c:lblAlgn val="ctr"/>
        <c:lblOffset val="100"/>
        <c:noMultiLvlLbl val="0"/>
      </c:catAx>
      <c:valAx>
        <c:axId val="151612416"/>
        <c:scaling>
          <c:orientation val="minMax"/>
        </c:scaling>
        <c:delete val="0"/>
        <c:axPos val="l"/>
        <c:majorGridlines/>
        <c:numFmt formatCode="#\ &quot;K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tx2"/>
                </a:solidFill>
              </a:defRPr>
            </a:pPr>
            <a:endParaRPr lang="en-US"/>
          </a:p>
        </c:txPr>
        <c:crossAx val="151610496"/>
        <c:crosses val="autoZero"/>
        <c:crossBetween val="between"/>
      </c:valAx>
      <c:valAx>
        <c:axId val="151622400"/>
        <c:scaling>
          <c:orientation val="minMax"/>
        </c:scaling>
        <c:delete val="0"/>
        <c:axPos val="r"/>
        <c:numFmt formatCode="#,###\ &quot;million&quot;" sourceLinked="1"/>
        <c:majorTickMark val="out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51623936"/>
        <c:crosses val="max"/>
        <c:crossBetween val="between"/>
      </c:valAx>
      <c:catAx>
        <c:axId val="15162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622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5788350662193176"/>
          <c:y val="0.30326380511628248"/>
          <c:w val="0.36363115931263312"/>
          <c:h val="0.140997375328083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0.12816768737241177"/>
          <c:w val="0.77178597219167622"/>
          <c:h val="0.73129075532225141"/>
        </c:manualLayout>
      </c:layout>
      <c:lineChart>
        <c:grouping val="standard"/>
        <c:varyColors val="0"/>
        <c:ser>
          <c:idx val="2"/>
          <c:order val="0"/>
          <c:tx>
            <c:strRef>
              <c:f>Sheet1!$C$178:$C$179</c:f>
              <c:strCache>
                <c:ptCount val="1"/>
                <c:pt idx="0">
                  <c:v>Max Blockchain size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Sheet1!$A$180:$A$195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Sheet1!$C$180:$C$195</c:f>
              <c:numCache>
                <c:formatCode>#\ "GB"</c:formatCode>
                <c:ptCount val="16"/>
                <c:pt idx="0">
                  <c:v>97</c:v>
                </c:pt>
                <c:pt idx="1">
                  <c:v>120.5</c:v>
                </c:pt>
                <c:pt idx="2">
                  <c:v>149.5</c:v>
                </c:pt>
                <c:pt idx="3">
                  <c:v>185.1875</c:v>
                </c:pt>
                <c:pt idx="4">
                  <c:v>228.953125</c:v>
                </c:pt>
                <c:pt idx="5">
                  <c:v>282.39453125</c:v>
                </c:pt>
                <c:pt idx="6">
                  <c:v>347.2978515625</c:v>
                </c:pt>
                <c:pt idx="7">
                  <c:v>425.579345703125</c:v>
                </c:pt>
                <c:pt idx="8">
                  <c:v>519.15972900390625</c:v>
                </c:pt>
                <c:pt idx="9">
                  <c:v>651.47767639160156</c:v>
                </c:pt>
                <c:pt idx="10">
                  <c:v>799.0046272277832</c:v>
                </c:pt>
                <c:pt idx="11">
                  <c:v>1016.6262674331665</c:v>
                </c:pt>
                <c:pt idx="12">
                  <c:v>1237.5698826313019</c:v>
                </c:pt>
                <c:pt idx="13">
                  <c:v>1598.0457883477211</c:v>
                </c:pt>
                <c:pt idx="14">
                  <c:v>1913.2608487159014</c:v>
                </c:pt>
                <c:pt idx="15">
                  <c:v>2526.9558826722205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Sheet1!$B$179</c:f>
              <c:strCache>
                <c:ptCount val="1"/>
                <c:pt idx="0">
                  <c:v>UTXO Size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Sheet1!$B$180:$B$195</c:f>
              <c:numCache>
                <c:formatCode>#,###\ "GB"</c:formatCode>
                <c:ptCount val="16"/>
                <c:pt idx="0">
                  <c:v>3</c:v>
                </c:pt>
                <c:pt idx="1">
                  <c:v>4.5</c:v>
                </c:pt>
                <c:pt idx="2">
                  <c:v>6.75</c:v>
                </c:pt>
                <c:pt idx="3">
                  <c:v>10.125</c:v>
                </c:pt>
                <c:pt idx="4">
                  <c:v>15.1875</c:v>
                </c:pt>
                <c:pt idx="5">
                  <c:v>22.78125</c:v>
                </c:pt>
                <c:pt idx="6">
                  <c:v>34.171875</c:v>
                </c:pt>
                <c:pt idx="7">
                  <c:v>51.2578125</c:v>
                </c:pt>
                <c:pt idx="8">
                  <c:v>76.88671875</c:v>
                </c:pt>
                <c:pt idx="9">
                  <c:v>93.58038330078125</c:v>
                </c:pt>
                <c:pt idx="10">
                  <c:v>132.31794738769531</c:v>
                </c:pt>
                <c:pt idx="11">
                  <c:v>147.52695083618164</c:v>
                </c:pt>
                <c:pt idx="12">
                  <c:v>217.6216402053833</c:v>
                </c:pt>
                <c:pt idx="13">
                  <c:v>220.94361519813538</c:v>
                </c:pt>
                <c:pt idx="14">
                  <c:v>360.47590571641922</c:v>
                </c:pt>
                <c:pt idx="15">
                  <c:v>315.21506036818027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48992"/>
        <c:axId val="151750912"/>
      </c:lineChart>
      <c:catAx>
        <c:axId val="15174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1750912"/>
        <c:crosses val="autoZero"/>
        <c:auto val="1"/>
        <c:lblAlgn val="ctr"/>
        <c:lblOffset val="100"/>
        <c:noMultiLvlLbl val="0"/>
      </c:catAx>
      <c:valAx>
        <c:axId val="151750912"/>
        <c:scaling>
          <c:orientation val="minMax"/>
        </c:scaling>
        <c:delete val="0"/>
        <c:axPos val="l"/>
        <c:majorGridlines/>
        <c:numFmt formatCode="#\ &quot;G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chemeClr val="tx2"/>
                </a:solidFill>
              </a:defRPr>
            </a:pPr>
            <a:endParaRPr lang="en-US"/>
          </a:p>
        </c:txPr>
        <c:crossAx val="151748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907531559400464"/>
          <c:y val="0.25863371245261008"/>
          <c:w val="0.43259794683450736"/>
          <c:h val="0.22036103820355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0.14316817640134813"/>
          <c:w val="0.77178597219167622"/>
          <c:h val="0.71629036621118736"/>
        </c:manualLayout>
      </c:layout>
      <c:lineChart>
        <c:grouping val="standard"/>
        <c:varyColors val="0"/>
        <c:ser>
          <c:idx val="2"/>
          <c:order val="0"/>
          <c:tx>
            <c:strRef>
              <c:f>Sheet1!$D$153:$D$154</c:f>
              <c:strCache>
                <c:ptCount val="1"/>
                <c:pt idx="0">
                  <c:v>Expected UTXO Size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Sheet1!$A$155:$A$170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Sheet1!$D$155:$D$170</c:f>
              <c:numCache>
                <c:formatCode>#,###\ "GB"</c:formatCode>
                <c:ptCount val="16"/>
                <c:pt idx="0">
                  <c:v>3</c:v>
                </c:pt>
                <c:pt idx="1">
                  <c:v>4.5</c:v>
                </c:pt>
                <c:pt idx="2">
                  <c:v>6.75</c:v>
                </c:pt>
                <c:pt idx="3">
                  <c:v>10.125</c:v>
                </c:pt>
                <c:pt idx="4">
                  <c:v>15.1875</c:v>
                </c:pt>
                <c:pt idx="5">
                  <c:v>22.78125</c:v>
                </c:pt>
                <c:pt idx="6">
                  <c:v>34.171875</c:v>
                </c:pt>
                <c:pt idx="7">
                  <c:v>51.2578125</c:v>
                </c:pt>
                <c:pt idx="8">
                  <c:v>76.88671875</c:v>
                </c:pt>
                <c:pt idx="9">
                  <c:v>115.330078125</c:v>
                </c:pt>
                <c:pt idx="10">
                  <c:v>172.9951171875</c:v>
                </c:pt>
                <c:pt idx="11">
                  <c:v>235.9094371875</c:v>
                </c:pt>
                <c:pt idx="12">
                  <c:v>298.82375718750001</c:v>
                </c:pt>
                <c:pt idx="13">
                  <c:v>361.73807718749998</c:v>
                </c:pt>
                <c:pt idx="14">
                  <c:v>424.65239718749996</c:v>
                </c:pt>
                <c:pt idx="15">
                  <c:v>487.56671718749993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Sheet1!$C$153:$C$154</c:f>
              <c:strCache>
                <c:ptCount val="1"/>
                <c:pt idx="0">
                  <c:v>Max UTXO Size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Sheet1!$A$155:$A$170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Sheet1!$C$155:$C$170</c:f>
              <c:numCache>
                <c:formatCode>#,###\ "GB"</c:formatCode>
                <c:ptCount val="16"/>
                <c:pt idx="0">
                  <c:v>1.3333333333333335</c:v>
                </c:pt>
                <c:pt idx="1">
                  <c:v>1.5333333333333334</c:v>
                </c:pt>
                <c:pt idx="2">
                  <c:v>1.7633333333333334</c:v>
                </c:pt>
                <c:pt idx="3">
                  <c:v>2.0278333333333332</c:v>
                </c:pt>
                <c:pt idx="4">
                  <c:v>2.332008333333333</c:v>
                </c:pt>
                <c:pt idx="5">
                  <c:v>2.6818095833333331</c:v>
                </c:pt>
                <c:pt idx="6">
                  <c:v>3.0840810208333327</c:v>
                </c:pt>
                <c:pt idx="7">
                  <c:v>3.5466931739583316</c:v>
                </c:pt>
                <c:pt idx="8">
                  <c:v>4.078697150052081</c:v>
                </c:pt>
                <c:pt idx="9">
                  <c:v>4.6905017225598931</c:v>
                </c:pt>
                <c:pt idx="10">
                  <c:v>5.3940769809438764</c:v>
                </c:pt>
                <c:pt idx="11">
                  <c:v>6.2031885280854571</c:v>
                </c:pt>
                <c:pt idx="12">
                  <c:v>7.1336668072982734</c:v>
                </c:pt>
                <c:pt idx="13">
                  <c:v>8.2037168283930164</c:v>
                </c:pt>
                <c:pt idx="14">
                  <c:v>9.4342743526519683</c:v>
                </c:pt>
                <c:pt idx="15">
                  <c:v>10.849415505549761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98144"/>
        <c:axId val="154883200"/>
      </c:lineChart>
      <c:catAx>
        <c:axId val="4419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4883200"/>
        <c:crosses val="autoZero"/>
        <c:auto val="1"/>
        <c:lblAlgn val="ctr"/>
        <c:lblOffset val="100"/>
        <c:noMultiLvlLbl val="0"/>
      </c:catAx>
      <c:valAx>
        <c:axId val="154883200"/>
        <c:scaling>
          <c:orientation val="minMax"/>
        </c:scaling>
        <c:delete val="0"/>
        <c:axPos val="l"/>
        <c:majorGridlines/>
        <c:numFmt formatCode="#,###\ &quot;G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ysClr val="windowText" lastClr="000000"/>
                </a:solidFill>
              </a:defRPr>
            </a:pPr>
            <a:endParaRPr lang="en-US"/>
          </a:p>
        </c:txPr>
        <c:crossAx val="44198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020969977917687"/>
          <c:y val="0.31440586639761953"/>
          <c:w val="0.30811522254916468"/>
          <c:h val="0.134320619393327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9418197725285"/>
          <c:y val="0.12088405383867405"/>
          <c:w val="0.77178597219167622"/>
          <c:h val="0.73857448877386145"/>
        </c:manualLayout>
      </c:layout>
      <c:lineChart>
        <c:grouping val="standard"/>
        <c:varyColors val="0"/>
        <c:ser>
          <c:idx val="2"/>
          <c:order val="0"/>
          <c:tx>
            <c:strRef>
              <c:f>Sheet1!$E$129:$E$130</c:f>
              <c:strCache>
                <c:ptCount val="1"/>
                <c:pt idx="0">
                  <c:v>Expected UTXO Size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Sheet1!$A$155:$A$170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Sheet1!$E$131:$E$146</c:f>
              <c:numCache>
                <c:formatCode>#,###\ "GB"</c:formatCode>
                <c:ptCount val="16"/>
                <c:pt idx="0">
                  <c:v>3</c:v>
                </c:pt>
                <c:pt idx="1">
                  <c:v>4.5</c:v>
                </c:pt>
                <c:pt idx="2">
                  <c:v>6.75</c:v>
                </c:pt>
                <c:pt idx="3">
                  <c:v>10.125</c:v>
                </c:pt>
                <c:pt idx="4">
                  <c:v>15.1875</c:v>
                </c:pt>
                <c:pt idx="5">
                  <c:v>22.78125</c:v>
                </c:pt>
                <c:pt idx="6">
                  <c:v>34.171875</c:v>
                </c:pt>
                <c:pt idx="7">
                  <c:v>51.2578125</c:v>
                </c:pt>
                <c:pt idx="8">
                  <c:v>76.88671875</c:v>
                </c:pt>
                <c:pt idx="9">
                  <c:v>115.330078125</c:v>
                </c:pt>
                <c:pt idx="10">
                  <c:v>172.9951171875</c:v>
                </c:pt>
                <c:pt idx="11">
                  <c:v>235.9094371875</c:v>
                </c:pt>
                <c:pt idx="12">
                  <c:v>298.82375718750001</c:v>
                </c:pt>
                <c:pt idx="13">
                  <c:v>361.73807718749998</c:v>
                </c:pt>
                <c:pt idx="14">
                  <c:v>424.65239718749996</c:v>
                </c:pt>
                <c:pt idx="15">
                  <c:v>487.56671718749993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Sheet1!$C$129:$C$130</c:f>
              <c:strCache>
                <c:ptCount val="1"/>
                <c:pt idx="0">
                  <c:v>Max UTXO Size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Sheet1!$A$155:$A$170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Sheet1!$C$131:$C$146</c:f>
              <c:numCache>
                <c:formatCode>#,###\ "GB"</c:formatCode>
                <c:ptCount val="16"/>
                <c:pt idx="0">
                  <c:v>85.333333333333343</c:v>
                </c:pt>
                <c:pt idx="1">
                  <c:v>98.13333333333334</c:v>
                </c:pt>
                <c:pt idx="2">
                  <c:v>112.85333333333334</c:v>
                </c:pt>
                <c:pt idx="3">
                  <c:v>129.78133333333332</c:v>
                </c:pt>
                <c:pt idx="4">
                  <c:v>149.24853333333331</c:v>
                </c:pt>
                <c:pt idx="5">
                  <c:v>171.63581333333332</c:v>
                </c:pt>
                <c:pt idx="6">
                  <c:v>197.38118533333329</c:v>
                </c:pt>
                <c:pt idx="7">
                  <c:v>226.98836313333322</c:v>
                </c:pt>
                <c:pt idx="8">
                  <c:v>261.03661760333318</c:v>
                </c:pt>
                <c:pt idx="9">
                  <c:v>300.19211024383316</c:v>
                </c:pt>
                <c:pt idx="10">
                  <c:v>345.22092678040809</c:v>
                </c:pt>
                <c:pt idx="11">
                  <c:v>397.00406579746925</c:v>
                </c:pt>
                <c:pt idx="12">
                  <c:v>456.5546756670895</c:v>
                </c:pt>
                <c:pt idx="13">
                  <c:v>525.03787701715305</c:v>
                </c:pt>
                <c:pt idx="14">
                  <c:v>603.79355856972597</c:v>
                </c:pt>
                <c:pt idx="15">
                  <c:v>694.36259235518469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3536"/>
        <c:axId val="53315456"/>
      </c:lineChart>
      <c:catAx>
        <c:axId val="5331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315456"/>
        <c:crosses val="autoZero"/>
        <c:auto val="1"/>
        <c:lblAlgn val="ctr"/>
        <c:lblOffset val="100"/>
        <c:noMultiLvlLbl val="0"/>
      </c:catAx>
      <c:valAx>
        <c:axId val="53315456"/>
        <c:scaling>
          <c:orientation val="minMax"/>
        </c:scaling>
        <c:delete val="0"/>
        <c:axPos val="l"/>
        <c:majorGridlines/>
        <c:numFmt formatCode="#,###\ &quot;GB&quot;" sourceLinked="1"/>
        <c:majorTickMark val="none"/>
        <c:minorTickMark val="none"/>
        <c:tickLblPos val="nextTo"/>
        <c:txPr>
          <a:bodyPr/>
          <a:lstStyle/>
          <a:p>
            <a:pPr>
              <a:defRPr b="1" i="0" baseline="0">
                <a:solidFill>
                  <a:sysClr val="windowText" lastClr="000000"/>
                </a:solidFill>
              </a:defRPr>
            </a:pPr>
            <a:endParaRPr lang="en-US"/>
          </a:p>
        </c:txPr>
        <c:crossAx val="5331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742612288286511"/>
          <c:y val="0.24383947828248489"/>
          <c:w val="0.30811522254916468"/>
          <c:h val="0.134320619393327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95251</xdr:colOff>
      <xdr:row>20</xdr:row>
      <xdr:rowOff>123825</xdr:rowOff>
    </xdr:from>
    <xdr:to>
      <xdr:col>10</xdr:col>
      <xdr:colOff>400050</xdr:colOff>
      <xdr:row>37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42</xdr:row>
      <xdr:rowOff>85725</xdr:rowOff>
    </xdr:from>
    <xdr:to>
      <xdr:col>10</xdr:col>
      <xdr:colOff>400049</xdr:colOff>
      <xdr:row>59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104</xdr:row>
      <xdr:rowOff>76199</xdr:rowOff>
    </xdr:from>
    <xdr:to>
      <xdr:col>4</xdr:col>
      <xdr:colOff>361949</xdr:colOff>
      <xdr:row>122</xdr:row>
      <xdr:rowOff>66674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609600</xdr:colOff>
      <xdr:row>104</xdr:row>
      <xdr:rowOff>47625</xdr:rowOff>
    </xdr:from>
    <xdr:to>
      <xdr:col>10</xdr:col>
      <xdr:colOff>219074</xdr:colOff>
      <xdr:row>122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66674</xdr:colOff>
      <xdr:row>176</xdr:row>
      <xdr:rowOff>180975</xdr:rowOff>
    </xdr:from>
    <xdr:to>
      <xdr:col>10</xdr:col>
      <xdr:colOff>219073</xdr:colOff>
      <xdr:row>194</xdr:row>
      <xdr:rowOff>171450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161924</xdr:colOff>
      <xdr:row>151</xdr:row>
      <xdr:rowOff>104775</xdr:rowOff>
    </xdr:from>
    <xdr:to>
      <xdr:col>10</xdr:col>
      <xdr:colOff>323849</xdr:colOff>
      <xdr:row>169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180975</xdr:colOff>
      <xdr:row>128</xdr:row>
      <xdr:rowOff>47625</xdr:rowOff>
    </xdr:from>
    <xdr:to>
      <xdr:col>10</xdr:col>
      <xdr:colOff>342900</xdr:colOff>
      <xdr:row>146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0.22887</cdr:x>
      <cdr:y>0.03064</cdr:y>
    </cdr:from>
    <cdr:to>
      <cdr:x>0.76495</cdr:x>
      <cdr:y>0.10864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57275" y="104776"/>
          <a:ext cx="24765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Transactions</a:t>
          </a:r>
          <a:r>
            <a:rPr lang="en-US" sz="1100" b="1" baseline="0"/>
            <a:t> (@ t=</a:t>
          </a:r>
          <a:r>
            <a:rPr lang="en-US" sz="1100" b="1"/>
            <a:t>0) = 415 million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</cdr:x>
      <cdr:y>0.02507</cdr:y>
    </cdr:from>
    <cdr:to>
      <cdr:x>0.73608</cdr:x>
      <cdr:y>0.10307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23943" y="85723"/>
          <a:ext cx="2476488" cy="266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TPS</a:t>
          </a:r>
          <a:r>
            <a:rPr lang="en-US" sz="1100" b="1" baseline="0"/>
            <a:t> (@ t=</a:t>
          </a:r>
          <a:r>
            <a:rPr lang="en-US" sz="1100" b="1"/>
            <a:t>0) = 4.2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0.13178</cdr:x>
      <cdr:y>0.02593</cdr:y>
    </cdr:from>
    <cdr:to>
      <cdr:x>0.91564</cdr:x>
      <cdr:y>0.10371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1800" y="88900"/>
          <a:ext cx="2568399" cy="266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/>
            <a:t>Blockchain &amp; UTXO</a:t>
          </a:r>
          <a:r>
            <a:rPr lang="en-US" sz="1100" b="1" baseline="0"/>
            <a:t> Disk Usage</a:t>
          </a:r>
          <a:endParaRPr lang="en-US" sz="11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0.2366</cdr:x>
      <cdr:y>0.02878</cdr:y>
    </cdr:from>
    <cdr:to>
      <cdr:x>0.79954</cdr:x>
      <cdr:y>0.10678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9500" y="98425"/>
          <a:ext cx="2568399" cy="266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/>
            <a:t>UTXO</a:t>
          </a:r>
          <a:r>
            <a:rPr lang="en-US" sz="1100" b="1" baseline="0"/>
            <a:t> Set Size Based on Memory Usage</a:t>
          </a:r>
          <a:endParaRPr lang="en-US" sz="1100" b="1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0.21781</cdr:x>
      <cdr:y>0.02043</cdr:y>
    </cdr:from>
    <cdr:to>
      <cdr:x>0.78075</cdr:x>
      <cdr:y>0.09843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93775" y="69850"/>
          <a:ext cx="2568399" cy="266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/>
            <a:t>UTXO</a:t>
          </a:r>
          <a:r>
            <a:rPr lang="en-US" sz="1100" b="1" baseline="0"/>
            <a:t> Set Size Based on Disk Usage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0"/>
  <sheetViews>
    <sheetView tabSelected="1" topLeftCell="A139" workbookViewId="0">
      <selection activeCell="C203" sqref="C203"/>
    </sheetView>
  </sheetViews>
  <sheetFormatPr defaultRowHeight="15" x14ac:dyDescent="0.25"/>
  <cols>
    <col min="1" max="1" width="11.28515625" customWidth="1"/>
    <col min="2" max="2" width="18.140625" customWidth="1"/>
    <col min="3" max="3" width="16.5703125" customWidth="1"/>
    <col min="4" max="4" width="17" customWidth="1"/>
    <col min="5" max="5" width="11.7109375" customWidth="1"/>
    <col min="6" max="6" width="19.140625" customWidth="1"/>
    <col min="7" max="7" width="13.85546875" customWidth="1"/>
    <col min="8" max="8" width="13.140625" customWidth="1"/>
    <col min="9" max="9" width="10.7109375" customWidth="1"/>
  </cols>
  <sheetData>
    <row r="1" spans="1:10" x14ac:dyDescent="0.25">
      <c r="I1" s="1" t="s">
        <v>19</v>
      </c>
      <c r="J1" s="1" t="s">
        <v>46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4</v>
      </c>
      <c r="H2" s="1" t="s">
        <v>19</v>
      </c>
      <c r="I2" s="1" t="s">
        <v>20</v>
      </c>
      <c r="J2" s="1" t="s">
        <v>20</v>
      </c>
    </row>
    <row r="3" spans="1:10" ht="15.75" x14ac:dyDescent="0.25">
      <c r="B3" s="2" t="s">
        <v>5</v>
      </c>
      <c r="C3" s="16">
        <v>1000</v>
      </c>
      <c r="D3" s="17">
        <v>10000</v>
      </c>
      <c r="E3" s="17">
        <v>20</v>
      </c>
      <c r="F3" s="18">
        <v>50000</v>
      </c>
      <c r="G3" s="19" t="s">
        <v>6</v>
      </c>
      <c r="H3" s="20">
        <v>7</v>
      </c>
      <c r="I3" s="21">
        <v>0.75</v>
      </c>
      <c r="J3" s="21">
        <v>0.1</v>
      </c>
    </row>
    <row r="4" spans="1:10" ht="15.75" x14ac:dyDescent="0.25">
      <c r="B4" s="2" t="s">
        <v>7</v>
      </c>
      <c r="C4" s="16">
        <v>50</v>
      </c>
      <c r="D4" s="17">
        <v>1000</v>
      </c>
      <c r="E4" s="17">
        <v>8</v>
      </c>
      <c r="F4" s="18">
        <v>5000</v>
      </c>
      <c r="G4" s="19" t="s">
        <v>6</v>
      </c>
      <c r="H4" s="20">
        <v>7</v>
      </c>
      <c r="I4" s="21">
        <v>0.1</v>
      </c>
      <c r="J4" s="21">
        <v>0.1</v>
      </c>
    </row>
    <row r="5" spans="1:10" ht="15.75" x14ac:dyDescent="0.25">
      <c r="B5" s="2" t="s">
        <v>8</v>
      </c>
      <c r="C5" s="16">
        <v>1</v>
      </c>
      <c r="D5" s="17">
        <v>128</v>
      </c>
      <c r="E5" s="17">
        <v>2</v>
      </c>
      <c r="F5" s="18">
        <v>200</v>
      </c>
      <c r="G5" s="19" t="s">
        <v>6</v>
      </c>
      <c r="H5" s="20">
        <v>7</v>
      </c>
      <c r="I5" s="21">
        <v>0.75</v>
      </c>
      <c r="J5" s="21">
        <v>0.1</v>
      </c>
    </row>
    <row r="6" spans="1:10" x14ac:dyDescent="0.25">
      <c r="B6" s="2" t="s">
        <v>12</v>
      </c>
      <c r="C6" s="21">
        <v>0.25</v>
      </c>
      <c r="D6" s="21">
        <v>0.25</v>
      </c>
      <c r="E6" s="21">
        <v>0.15</v>
      </c>
      <c r="F6" s="21">
        <v>0.17</v>
      </c>
    </row>
    <row r="8" spans="1:10" x14ac:dyDescent="0.25">
      <c r="G8" s="1" t="s">
        <v>44</v>
      </c>
      <c r="H8" s="1" t="s">
        <v>41</v>
      </c>
    </row>
    <row r="9" spans="1:10" x14ac:dyDescent="0.25">
      <c r="A9" t="s">
        <v>15</v>
      </c>
      <c r="B9" s="4" t="s">
        <v>16</v>
      </c>
      <c r="C9" s="1" t="s">
        <v>22</v>
      </c>
      <c r="D9" s="1" t="s">
        <v>17</v>
      </c>
      <c r="E9" s="1" t="s">
        <v>23</v>
      </c>
      <c r="F9" s="1" t="s">
        <v>26</v>
      </c>
      <c r="G9" s="1" t="s">
        <v>45</v>
      </c>
      <c r="H9" s="1" t="s">
        <v>42</v>
      </c>
    </row>
    <row r="10" spans="1:10" x14ac:dyDescent="0.25">
      <c r="B10" s="22">
        <f>365*24*60*60</f>
        <v>31536000</v>
      </c>
      <c r="C10" s="22">
        <f>10*60</f>
        <v>600</v>
      </c>
      <c r="D10" s="22">
        <f>1/(8*1000)</f>
        <v>1.25E-4</v>
      </c>
      <c r="E10" s="22">
        <f>POWER(10,6)</f>
        <v>1000000</v>
      </c>
      <c r="F10" s="23">
        <v>475</v>
      </c>
      <c r="G10" s="35">
        <v>3</v>
      </c>
      <c r="H10" s="34">
        <v>0.5</v>
      </c>
    </row>
    <row r="12" spans="1:10" x14ac:dyDescent="0.25">
      <c r="E12" s="1" t="s">
        <v>41</v>
      </c>
    </row>
    <row r="13" spans="1:10" x14ac:dyDescent="0.25">
      <c r="B13" s="1" t="s">
        <v>29</v>
      </c>
      <c r="C13" s="1" t="s">
        <v>31</v>
      </c>
      <c r="D13" s="1" t="s">
        <v>49</v>
      </c>
      <c r="E13" s="1" t="s">
        <v>51</v>
      </c>
      <c r="F13" s="1" t="s">
        <v>62</v>
      </c>
    </row>
    <row r="14" spans="1:10" x14ac:dyDescent="0.25">
      <c r="B14" s="1" t="s">
        <v>30</v>
      </c>
      <c r="C14" s="1" t="s">
        <v>32</v>
      </c>
      <c r="D14" s="1" t="s">
        <v>50</v>
      </c>
      <c r="E14" s="1" t="s">
        <v>52</v>
      </c>
      <c r="F14" s="1" t="s">
        <v>64</v>
      </c>
    </row>
    <row r="15" spans="1:10" x14ac:dyDescent="0.25">
      <c r="B15" s="21">
        <v>0.9</v>
      </c>
      <c r="C15" s="24">
        <f>7*30</f>
        <v>210</v>
      </c>
      <c r="D15" s="42">
        <f>0.45/utxoSize/utxoExpand</f>
        <v>2.3437499999999997E-2</v>
      </c>
      <c r="E15" s="21">
        <v>6.4</v>
      </c>
      <c r="F15" s="18">
        <v>4.2</v>
      </c>
    </row>
    <row r="17" spans="1:10" x14ac:dyDescent="0.25">
      <c r="A17" s="11" t="s">
        <v>9</v>
      </c>
    </row>
    <row r="18" spans="1:10" x14ac:dyDescent="0.25">
      <c r="D18" s="40" t="s">
        <v>2</v>
      </c>
      <c r="E18" s="40" t="s">
        <v>3</v>
      </c>
    </row>
    <row r="19" spans="1:10" ht="15.75" x14ac:dyDescent="0.25">
      <c r="A19" s="2" t="s">
        <v>10</v>
      </c>
      <c r="B19" s="2" t="s">
        <v>8</v>
      </c>
      <c r="C19" s="16">
        <v>1</v>
      </c>
      <c r="D19" s="17">
        <v>128</v>
      </c>
      <c r="E19" s="17">
        <v>2</v>
      </c>
      <c r="F19" s="18">
        <v>200</v>
      </c>
      <c r="G19" s="19" t="s">
        <v>6</v>
      </c>
      <c r="H19" s="20">
        <v>7</v>
      </c>
      <c r="I19" s="21">
        <v>0.75</v>
      </c>
      <c r="J19" s="21">
        <v>0.1</v>
      </c>
    </row>
    <row r="21" spans="1:10" x14ac:dyDescent="0.25">
      <c r="A21" s="4" t="s">
        <v>11</v>
      </c>
      <c r="B21" s="1" t="s">
        <v>24</v>
      </c>
      <c r="C21" s="1" t="s">
        <v>18</v>
      </c>
      <c r="D21" s="1" t="s">
        <v>21</v>
      </c>
      <c r="E21" s="1" t="s">
        <v>25</v>
      </c>
      <c r="F21" s="1"/>
    </row>
    <row r="22" spans="1:10" x14ac:dyDescent="0.25">
      <c r="A22">
        <v>0</v>
      </c>
      <c r="B22" s="7">
        <f t="shared" ref="B22:B37" si="0">bandwidth1*resourcePercent*mbToGB*secondsPerYear*POWER(1+bandwidthGrowth,A22)*syncTime1/365</f>
        <v>56.7</v>
      </c>
      <c r="C22" s="8">
        <f t="shared" ref="C22:C37" si="1">bandwidth1*resourcePercent*LN(1+bandwidthGrowth)*mbToGB*secondsPerYear*POWER(1+bandwidthGrowth,A22)*syncTime1/365</f>
        <v>12.652239359515697</v>
      </c>
      <c r="D22" s="9">
        <f t="shared" ref="D22:D37" si="2">C22*(secondsPerBlock/secondsPerYear)*KBperGB</f>
        <v>240.71992693142499</v>
      </c>
      <c r="E22" s="10">
        <f t="shared" ref="E22:E37" si="3">D22*1000/(secondsPerBlock*avgTrSize)</f>
        <v>0.8446313225664035</v>
      </c>
      <c r="F22" s="33"/>
    </row>
    <row r="23" spans="1:10" x14ac:dyDescent="0.25">
      <c r="A23">
        <v>1</v>
      </c>
      <c r="B23" s="7">
        <f t="shared" si="0"/>
        <v>70.875</v>
      </c>
      <c r="C23" s="8">
        <f t="shared" si="1"/>
        <v>15.815299199394618</v>
      </c>
      <c r="D23" s="9">
        <f t="shared" si="2"/>
        <v>300.89990866428116</v>
      </c>
      <c r="E23" s="10">
        <f t="shared" si="3"/>
        <v>1.0557891532080039</v>
      </c>
      <c r="F23" s="7"/>
    </row>
    <row r="24" spans="1:10" x14ac:dyDescent="0.25">
      <c r="A24">
        <v>2</v>
      </c>
      <c r="B24" s="7">
        <f t="shared" si="0"/>
        <v>88.59375</v>
      </c>
      <c r="C24" s="8">
        <f t="shared" si="1"/>
        <v>19.769123999243277</v>
      </c>
      <c r="D24" s="9">
        <f t="shared" si="2"/>
        <v>376.12488583035162</v>
      </c>
      <c r="E24" s="10">
        <f t="shared" si="3"/>
        <v>1.3197364415100057</v>
      </c>
      <c r="F24" s="7"/>
    </row>
    <row r="25" spans="1:10" x14ac:dyDescent="0.25">
      <c r="A25">
        <v>3</v>
      </c>
      <c r="B25" s="7">
        <f t="shared" si="0"/>
        <v>110.7421875</v>
      </c>
      <c r="C25" s="8">
        <f t="shared" si="1"/>
        <v>24.711404999054093</v>
      </c>
      <c r="D25" s="9">
        <f t="shared" si="2"/>
        <v>470.15610728793939</v>
      </c>
      <c r="E25" s="10">
        <f t="shared" si="3"/>
        <v>1.6496705518875068</v>
      </c>
      <c r="F25" s="7"/>
    </row>
    <row r="26" spans="1:10" x14ac:dyDescent="0.25">
      <c r="A26">
        <v>4</v>
      </c>
      <c r="B26" s="7">
        <f t="shared" si="0"/>
        <v>138.427734375</v>
      </c>
      <c r="C26" s="8">
        <f t="shared" si="1"/>
        <v>30.88925624881762</v>
      </c>
      <c r="D26" s="9">
        <f t="shared" si="2"/>
        <v>587.69513410992431</v>
      </c>
      <c r="E26" s="10">
        <f t="shared" si="3"/>
        <v>2.0620881898593835</v>
      </c>
      <c r="F26" s="7"/>
    </row>
    <row r="27" spans="1:10" x14ac:dyDescent="0.25">
      <c r="A27">
        <v>5</v>
      </c>
      <c r="B27" s="7">
        <f t="shared" si="0"/>
        <v>173.03466796875</v>
      </c>
      <c r="C27" s="8">
        <f t="shared" si="1"/>
        <v>38.611570311022021</v>
      </c>
      <c r="D27" s="9">
        <f t="shared" si="2"/>
        <v>734.61891763740527</v>
      </c>
      <c r="E27" s="10">
        <f t="shared" si="3"/>
        <v>2.5776102373242287</v>
      </c>
      <c r="F27" s="7"/>
    </row>
    <row r="28" spans="1:10" x14ac:dyDescent="0.25">
      <c r="A28">
        <v>6</v>
      </c>
      <c r="B28" s="14">
        <f t="shared" si="0"/>
        <v>216.2933349609375</v>
      </c>
      <c r="C28" s="8">
        <f t="shared" si="1"/>
        <v>48.264462888777523</v>
      </c>
      <c r="D28" s="9">
        <f t="shared" si="2"/>
        <v>918.27364704675665</v>
      </c>
      <c r="E28" s="10">
        <f t="shared" si="3"/>
        <v>3.2220127966552865</v>
      </c>
      <c r="F28" s="7"/>
    </row>
    <row r="29" spans="1:10" x14ac:dyDescent="0.25">
      <c r="A29">
        <v>7</v>
      </c>
      <c r="B29" s="7">
        <f t="shared" si="0"/>
        <v>270.36666870117187</v>
      </c>
      <c r="C29" s="8">
        <f t="shared" si="1"/>
        <v>60.330578610971912</v>
      </c>
      <c r="D29" s="9">
        <f t="shared" si="2"/>
        <v>1147.8420588084459</v>
      </c>
      <c r="E29" s="10">
        <f t="shared" si="3"/>
        <v>4.0275159958191082</v>
      </c>
      <c r="F29" s="7"/>
    </row>
    <row r="30" spans="1:10" x14ac:dyDescent="0.25">
      <c r="A30">
        <v>8</v>
      </c>
      <c r="B30" s="7">
        <f t="shared" si="0"/>
        <v>337.95833587646484</v>
      </c>
      <c r="C30" s="8">
        <f t="shared" si="1"/>
        <v>75.413223263714883</v>
      </c>
      <c r="D30" s="9">
        <f t="shared" si="2"/>
        <v>1434.8025735105573</v>
      </c>
      <c r="E30" s="10">
        <f t="shared" si="3"/>
        <v>5.0343949947738844</v>
      </c>
      <c r="F30" s="7"/>
    </row>
    <row r="31" spans="1:10" x14ac:dyDescent="0.25">
      <c r="A31">
        <v>9</v>
      </c>
      <c r="B31" s="7">
        <f t="shared" si="0"/>
        <v>422.44791984558105</v>
      </c>
      <c r="C31" s="8">
        <f t="shared" si="1"/>
        <v>94.266529079643618</v>
      </c>
      <c r="D31" s="9">
        <f t="shared" si="2"/>
        <v>1793.5032168881967</v>
      </c>
      <c r="E31" s="10">
        <f t="shared" si="3"/>
        <v>6.2929937434673571</v>
      </c>
      <c r="F31" s="7"/>
    </row>
    <row r="32" spans="1:10" x14ac:dyDescent="0.25">
      <c r="A32">
        <v>10</v>
      </c>
      <c r="B32" s="7">
        <f t="shared" si="0"/>
        <v>528.05989980697632</v>
      </c>
      <c r="C32" s="8">
        <f t="shared" si="1"/>
        <v>117.83316134955453</v>
      </c>
      <c r="D32" s="9">
        <f t="shared" si="2"/>
        <v>2241.8790211102464</v>
      </c>
      <c r="E32" s="10">
        <f t="shared" si="3"/>
        <v>7.8662421793341979</v>
      </c>
      <c r="F32" s="7"/>
    </row>
    <row r="33" spans="1:10" x14ac:dyDescent="0.25">
      <c r="A33">
        <v>11</v>
      </c>
      <c r="B33" s="7">
        <f t="shared" si="0"/>
        <v>660.0748747587204</v>
      </c>
      <c r="C33" s="8">
        <f t="shared" si="1"/>
        <v>147.29145168694313</v>
      </c>
      <c r="D33" s="9">
        <f t="shared" si="2"/>
        <v>2802.348776387807</v>
      </c>
      <c r="E33" s="10">
        <f t="shared" si="3"/>
        <v>9.8328027241677436</v>
      </c>
      <c r="F33" s="7"/>
    </row>
    <row r="34" spans="1:10" x14ac:dyDescent="0.25">
      <c r="A34">
        <v>12</v>
      </c>
      <c r="B34" s="7">
        <f t="shared" si="0"/>
        <v>825.0935934484005</v>
      </c>
      <c r="C34" s="8">
        <f t="shared" si="1"/>
        <v>184.11431460867891</v>
      </c>
      <c r="D34" s="9">
        <f t="shared" si="2"/>
        <v>3502.9359704847589</v>
      </c>
      <c r="E34" s="10">
        <f t="shared" si="3"/>
        <v>12.291003405209679</v>
      </c>
      <c r="F34" s="7"/>
    </row>
    <row r="35" spans="1:10" x14ac:dyDescent="0.25">
      <c r="A35">
        <v>13</v>
      </c>
      <c r="B35" s="7">
        <f t="shared" si="0"/>
        <v>1031.3669918105006</v>
      </c>
      <c r="C35" s="8">
        <f t="shared" si="1"/>
        <v>230.14289326084864</v>
      </c>
      <c r="D35" s="9">
        <f t="shared" si="2"/>
        <v>4378.6699631059482</v>
      </c>
      <c r="E35" s="10">
        <f t="shared" si="3"/>
        <v>15.363754256512101</v>
      </c>
      <c r="F35" s="7"/>
    </row>
    <row r="36" spans="1:10" x14ac:dyDescent="0.25">
      <c r="A36">
        <v>14</v>
      </c>
      <c r="B36" s="7">
        <f t="shared" si="0"/>
        <v>1289.2087397631258</v>
      </c>
      <c r="C36" s="8">
        <f t="shared" si="1"/>
        <v>287.67861657606079</v>
      </c>
      <c r="D36" s="9">
        <f t="shared" si="2"/>
        <v>5473.3374538824364</v>
      </c>
      <c r="E36" s="10">
        <f t="shared" si="3"/>
        <v>19.204692820640126</v>
      </c>
      <c r="F36" s="7"/>
    </row>
    <row r="37" spans="1:10" x14ac:dyDescent="0.25">
      <c r="A37">
        <v>15</v>
      </c>
      <c r="B37" s="7">
        <f t="shared" si="0"/>
        <v>1611.5109247039072</v>
      </c>
      <c r="C37" s="8">
        <f t="shared" si="1"/>
        <v>359.59827072007602</v>
      </c>
      <c r="D37" s="9">
        <f t="shared" si="2"/>
        <v>6841.6718173530453</v>
      </c>
      <c r="E37" s="10">
        <f t="shared" si="3"/>
        <v>24.005866025800159</v>
      </c>
      <c r="F37" s="7"/>
    </row>
    <row r="38" spans="1:10" x14ac:dyDescent="0.25">
      <c r="F38" s="33"/>
    </row>
    <row r="39" spans="1:10" x14ac:dyDescent="0.25">
      <c r="A39" s="11" t="s">
        <v>28</v>
      </c>
    </row>
    <row r="40" spans="1:10" x14ac:dyDescent="0.25">
      <c r="A40" s="1"/>
      <c r="B40" s="2"/>
      <c r="D40" s="40" t="s">
        <v>2</v>
      </c>
      <c r="E40" s="40" t="s">
        <v>3</v>
      </c>
    </row>
    <row r="41" spans="1:10" ht="15.75" x14ac:dyDescent="0.25">
      <c r="A41" s="2" t="s">
        <v>10</v>
      </c>
      <c r="B41" s="2" t="s">
        <v>8</v>
      </c>
      <c r="C41" s="16">
        <v>1</v>
      </c>
      <c r="D41" s="17">
        <v>128</v>
      </c>
      <c r="E41" s="17">
        <v>2</v>
      </c>
      <c r="F41" s="18">
        <v>200</v>
      </c>
      <c r="G41" s="19" t="s">
        <v>6</v>
      </c>
      <c r="H41" s="20">
        <v>7</v>
      </c>
      <c r="I41" s="21">
        <v>0.75</v>
      </c>
      <c r="J41" s="21">
        <v>0.1</v>
      </c>
    </row>
    <row r="43" spans="1:10" x14ac:dyDescent="0.25">
      <c r="A43" s="4" t="s">
        <v>11</v>
      </c>
      <c r="B43" s="1" t="s">
        <v>27</v>
      </c>
      <c r="C43" s="1" t="s">
        <v>18</v>
      </c>
      <c r="D43" s="1" t="s">
        <v>21</v>
      </c>
      <c r="E43" s="1" t="s">
        <v>25</v>
      </c>
      <c r="F43" s="5"/>
    </row>
    <row r="44" spans="1:10" x14ac:dyDescent="0.25">
      <c r="A44">
        <v>0</v>
      </c>
      <c r="B44" s="12">
        <f t="shared" ref="B44:B59" si="4">throughput2*resourcePercent2*secondsPerYear*POWER(1+cpuGrowth,A44)*syncTime2/365/1000/1000</f>
        <v>90.72</v>
      </c>
      <c r="C44" s="25">
        <f t="shared" ref="C44:C59" si="5">throughput2*resourcePercent2*secondsPerYear*LN(1+cpuGrowth)*POWER(1+cpuGrowth,A44)*syncTime2/365/1000/1000</f>
        <v>14.243380092012782</v>
      </c>
      <c r="D44" s="13">
        <f t="shared" ref="D44:D59" si="6">E44*secondsPerBlock*avgTrSize/1000</f>
        <v>128.72156666107443</v>
      </c>
      <c r="E44" s="6">
        <f t="shared" ref="E44:E59" si="7">C44*1000*1000/secondsPerYear</f>
        <v>0.45165461986341898</v>
      </c>
      <c r="F44" s="3"/>
    </row>
    <row r="45" spans="1:10" x14ac:dyDescent="0.25">
      <c r="A45">
        <v>1</v>
      </c>
      <c r="B45" s="12">
        <f t="shared" si="4"/>
        <v>106.14239999999999</v>
      </c>
      <c r="C45" s="25">
        <f t="shared" si="5"/>
        <v>16.664754707654954</v>
      </c>
      <c r="D45" s="13">
        <f t="shared" si="6"/>
        <v>150.60423299345706</v>
      </c>
      <c r="E45" s="6">
        <f t="shared" si="7"/>
        <v>0.52843590524020023</v>
      </c>
      <c r="F45" s="3"/>
    </row>
    <row r="46" spans="1:10" x14ac:dyDescent="0.25">
      <c r="A46">
        <v>2</v>
      </c>
      <c r="B46" s="12">
        <f t="shared" si="4"/>
        <v>124.18660799999998</v>
      </c>
      <c r="C46" s="25">
        <f t="shared" si="5"/>
        <v>19.497763007956291</v>
      </c>
      <c r="D46" s="13">
        <f t="shared" si="6"/>
        <v>176.20695260234473</v>
      </c>
      <c r="E46" s="6">
        <f t="shared" si="7"/>
        <v>0.61827000913103414</v>
      </c>
      <c r="F46" s="3"/>
    </row>
    <row r="47" spans="1:10" x14ac:dyDescent="0.25">
      <c r="A47">
        <v>3</v>
      </c>
      <c r="B47" s="12">
        <f t="shared" si="4"/>
        <v>145.29833135999999</v>
      </c>
      <c r="C47" s="25">
        <f t="shared" si="5"/>
        <v>22.812382719308864</v>
      </c>
      <c r="D47" s="13">
        <f t="shared" si="6"/>
        <v>206.16213454474334</v>
      </c>
      <c r="E47" s="6">
        <f t="shared" si="7"/>
        <v>0.72337591068330998</v>
      </c>
      <c r="F47" s="3"/>
    </row>
    <row r="48" spans="1:10" x14ac:dyDescent="0.25">
      <c r="A48">
        <v>4</v>
      </c>
      <c r="B48" s="12">
        <f t="shared" si="4"/>
        <v>169.99904769119996</v>
      </c>
      <c r="C48" s="25">
        <f t="shared" si="5"/>
        <v>26.690487781591369</v>
      </c>
      <c r="D48" s="13">
        <f t="shared" si="6"/>
        <v>241.20969741734967</v>
      </c>
      <c r="E48" s="6">
        <f t="shared" si="7"/>
        <v>0.84634981549947252</v>
      </c>
      <c r="F48" s="3"/>
    </row>
    <row r="49" spans="1:10" x14ac:dyDescent="0.25">
      <c r="A49">
        <v>5</v>
      </c>
      <c r="B49" s="12">
        <f t="shared" si="4"/>
        <v>198.8988857987039</v>
      </c>
      <c r="C49" s="25">
        <f t="shared" si="5"/>
        <v>31.2278707044619</v>
      </c>
      <c r="D49" s="13">
        <f t="shared" si="6"/>
        <v>282.21534597829907</v>
      </c>
      <c r="E49" s="6">
        <f t="shared" si="7"/>
        <v>0.99022928413438294</v>
      </c>
      <c r="F49" s="3"/>
    </row>
    <row r="50" spans="1:10" x14ac:dyDescent="0.25">
      <c r="A50">
        <v>6</v>
      </c>
      <c r="B50" s="12">
        <f t="shared" si="4"/>
        <v>232.71169638448359</v>
      </c>
      <c r="C50" s="25">
        <f t="shared" si="5"/>
        <v>36.536608724220415</v>
      </c>
      <c r="D50" s="13">
        <f t="shared" si="6"/>
        <v>330.1919547946099</v>
      </c>
      <c r="E50" s="6">
        <f t="shared" si="7"/>
        <v>1.1585682624372278</v>
      </c>
      <c r="F50" s="3"/>
    </row>
    <row r="51" spans="1:10" x14ac:dyDescent="0.25">
      <c r="A51">
        <v>7</v>
      </c>
      <c r="B51" s="12">
        <f t="shared" si="4"/>
        <v>272.27268476984574</v>
      </c>
      <c r="C51" s="25">
        <f t="shared" si="5"/>
        <v>42.747832207337886</v>
      </c>
      <c r="D51" s="13">
        <f t="shared" si="6"/>
        <v>386.3245871096936</v>
      </c>
      <c r="E51" s="6">
        <f t="shared" si="7"/>
        <v>1.3555248670515565</v>
      </c>
      <c r="F51" s="3"/>
    </row>
    <row r="52" spans="1:10" x14ac:dyDescent="0.25">
      <c r="A52">
        <v>8</v>
      </c>
      <c r="B52" s="12">
        <f t="shared" si="4"/>
        <v>318.55904118071953</v>
      </c>
      <c r="C52" s="25">
        <f t="shared" si="5"/>
        <v>50.014963682585318</v>
      </c>
      <c r="D52" s="13">
        <f t="shared" si="6"/>
        <v>451.99976691834138</v>
      </c>
      <c r="E52" s="6">
        <f t="shared" si="7"/>
        <v>1.5859640944503206</v>
      </c>
      <c r="F52" s="3"/>
    </row>
    <row r="53" spans="1:10" x14ac:dyDescent="0.25">
      <c r="A53">
        <v>9</v>
      </c>
      <c r="B53" s="12">
        <f t="shared" si="4"/>
        <v>372.71407818144172</v>
      </c>
      <c r="C53" s="25">
        <f t="shared" si="5"/>
        <v>58.517507508624817</v>
      </c>
      <c r="D53" s="13">
        <f t="shared" si="6"/>
        <v>528.83972729445941</v>
      </c>
      <c r="E53" s="6">
        <f t="shared" si="7"/>
        <v>1.8555779905068752</v>
      </c>
      <c r="F53" s="3"/>
    </row>
    <row r="54" spans="1:10" x14ac:dyDescent="0.25">
      <c r="A54">
        <v>10</v>
      </c>
      <c r="B54" s="15">
        <f t="shared" si="4"/>
        <v>436.07547147228695</v>
      </c>
      <c r="C54" s="25">
        <f t="shared" si="5"/>
        <v>68.465483785091038</v>
      </c>
      <c r="D54" s="13">
        <f t="shared" si="6"/>
        <v>618.74248093451774</v>
      </c>
      <c r="E54" s="6">
        <f t="shared" si="7"/>
        <v>2.1710262488930443</v>
      </c>
      <c r="F54" s="3"/>
    </row>
    <row r="55" spans="1:10" x14ac:dyDescent="0.25">
      <c r="A55">
        <v>11</v>
      </c>
      <c r="B55" s="12">
        <f t="shared" si="4"/>
        <v>510.20830162257562</v>
      </c>
      <c r="C55" s="25">
        <f t="shared" si="5"/>
        <v>80.104616028556507</v>
      </c>
      <c r="D55" s="13">
        <f t="shared" si="6"/>
        <v>723.9287026933855</v>
      </c>
      <c r="E55" s="6">
        <f t="shared" si="7"/>
        <v>2.5401007112048615</v>
      </c>
      <c r="F55" s="3"/>
    </row>
    <row r="56" spans="1:10" x14ac:dyDescent="0.25">
      <c r="A56">
        <v>12</v>
      </c>
      <c r="B56" s="12">
        <f t="shared" si="4"/>
        <v>596.94371289841331</v>
      </c>
      <c r="C56" s="25">
        <f t="shared" si="5"/>
        <v>93.722400753411094</v>
      </c>
      <c r="D56" s="13">
        <f t="shared" si="6"/>
        <v>846.9965821512609</v>
      </c>
      <c r="E56" s="6">
        <f t="shared" si="7"/>
        <v>2.9719178321096873</v>
      </c>
      <c r="F56" s="3"/>
    </row>
    <row r="57" spans="1:10" x14ac:dyDescent="0.25">
      <c r="A57">
        <v>13</v>
      </c>
      <c r="B57" s="12">
        <f t="shared" si="4"/>
        <v>698.4241440911436</v>
      </c>
      <c r="C57" s="25">
        <f t="shared" si="5"/>
        <v>109.65520888149099</v>
      </c>
      <c r="D57" s="13">
        <f t="shared" si="6"/>
        <v>990.98600111697533</v>
      </c>
      <c r="E57" s="6">
        <f t="shared" si="7"/>
        <v>3.4771438635683345</v>
      </c>
      <c r="F57" s="3"/>
    </row>
    <row r="58" spans="1:10" x14ac:dyDescent="0.25">
      <c r="A58">
        <v>14</v>
      </c>
      <c r="B58" s="12">
        <f t="shared" si="4"/>
        <v>817.15624858663818</v>
      </c>
      <c r="C58" s="25">
        <f t="shared" si="5"/>
        <v>128.29659439134446</v>
      </c>
      <c r="D58" s="13">
        <f t="shared" si="6"/>
        <v>1159.4536213068609</v>
      </c>
      <c r="E58" s="6">
        <f t="shared" si="7"/>
        <v>4.0682583203749507</v>
      </c>
      <c r="F58" s="3"/>
    </row>
    <row r="59" spans="1:10" x14ac:dyDescent="0.25">
      <c r="A59">
        <v>15</v>
      </c>
      <c r="B59" s="12">
        <f t="shared" si="4"/>
        <v>956.07281084636656</v>
      </c>
      <c r="C59" s="25">
        <f t="shared" si="5"/>
        <v>150.10701543787297</v>
      </c>
      <c r="D59" s="13">
        <f t="shared" si="6"/>
        <v>1356.5607369290271</v>
      </c>
      <c r="E59" s="6">
        <f t="shared" si="7"/>
        <v>4.7598622348386916</v>
      </c>
      <c r="F59" s="3"/>
    </row>
    <row r="61" spans="1:10" x14ac:dyDescent="0.25">
      <c r="A61" s="11" t="s">
        <v>33</v>
      </c>
    </row>
    <row r="62" spans="1:10" x14ac:dyDescent="0.25">
      <c r="A62" s="1"/>
      <c r="B62" s="2"/>
      <c r="D62" s="40" t="s">
        <v>2</v>
      </c>
      <c r="E62" s="40" t="s">
        <v>3</v>
      </c>
    </row>
    <row r="63" spans="1:10" ht="15.75" x14ac:dyDescent="0.25">
      <c r="A63" s="2" t="s">
        <v>10</v>
      </c>
      <c r="B63" s="2" t="s">
        <v>8</v>
      </c>
      <c r="C63" s="16">
        <v>1</v>
      </c>
      <c r="D63" s="17">
        <v>128</v>
      </c>
      <c r="E63" s="17">
        <v>2</v>
      </c>
      <c r="F63" s="18">
        <v>200</v>
      </c>
      <c r="G63" s="19" t="s">
        <v>6</v>
      </c>
      <c r="H63" s="20">
        <v>7</v>
      </c>
      <c r="I63" s="21">
        <v>0.75</v>
      </c>
      <c r="J63" s="21">
        <v>0.1</v>
      </c>
    </row>
    <row r="65" spans="1:9" x14ac:dyDescent="0.25">
      <c r="H65" s="1" t="s">
        <v>37</v>
      </c>
    </row>
    <row r="66" spans="1:9" x14ac:dyDescent="0.25">
      <c r="B66" s="28"/>
      <c r="C66" s="28"/>
      <c r="D66" s="28"/>
      <c r="E66" s="1" t="s">
        <v>39</v>
      </c>
      <c r="F66" s="1" t="s">
        <v>35</v>
      </c>
      <c r="G66" s="1" t="s">
        <v>29</v>
      </c>
      <c r="H66" s="1" t="s">
        <v>38</v>
      </c>
      <c r="I66" s="28"/>
    </row>
    <row r="67" spans="1:9" x14ac:dyDescent="0.25">
      <c r="A67" s="4" t="s">
        <v>11</v>
      </c>
      <c r="B67" s="1" t="s">
        <v>25</v>
      </c>
      <c r="C67" s="1" t="s">
        <v>34</v>
      </c>
      <c r="D67" s="1" t="s">
        <v>12</v>
      </c>
      <c r="E67" s="1" t="s">
        <v>40</v>
      </c>
      <c r="F67" s="1" t="s">
        <v>36</v>
      </c>
      <c r="G67" s="1" t="s">
        <v>36</v>
      </c>
      <c r="H67" s="1" t="s">
        <v>36</v>
      </c>
      <c r="I67" s="1" t="s">
        <v>13</v>
      </c>
    </row>
    <row r="68" spans="1:9" x14ac:dyDescent="0.25">
      <c r="A68">
        <v>0</v>
      </c>
      <c r="B68" s="26">
        <v>4.9000000000000004</v>
      </c>
      <c r="C68" s="30">
        <v>415</v>
      </c>
      <c r="D68" s="25">
        <f t="shared" ref="D68:D83" si="8">B68*secondsPerYear/1000/1000</f>
        <v>154.5264</v>
      </c>
      <c r="E68" s="13">
        <f t="shared" ref="E68:E83" si="9">B68*secondsPerBlock*avgTrSize/1000</f>
        <v>1396.5</v>
      </c>
      <c r="F68" s="12">
        <f t="shared" ref="F68:F83" si="10">assumevalidBlockTime*D68/365</f>
        <v>88.905599999999993</v>
      </c>
      <c r="G68" s="12">
        <f t="shared" ref="G68:G83" si="11">C68-F68</f>
        <v>326.09440000000001</v>
      </c>
      <c r="H68" s="12">
        <f t="shared" ref="H68:H83" si="12">F68+G68*(1-assumevalidSpeedup)</f>
        <v>121.51503999999998</v>
      </c>
      <c r="I68" s="27">
        <f t="shared" ref="I68:I83" si="13">(H68*1000*1000/(throughput3*POWER(1+cpuGrowth,A68)))/(secondsPerYear/365)</f>
        <v>7.0321203703703699</v>
      </c>
    </row>
    <row r="69" spans="1:9" x14ac:dyDescent="0.25">
      <c r="A69">
        <v>1</v>
      </c>
      <c r="B69" s="26">
        <v>5.2</v>
      </c>
      <c r="C69" s="12">
        <f>C68+D68</f>
        <v>569.52639999999997</v>
      </c>
      <c r="D69" s="25">
        <f t="shared" si="8"/>
        <v>163.9872</v>
      </c>
      <c r="E69" s="13">
        <f t="shared" si="9"/>
        <v>1482</v>
      </c>
      <c r="F69" s="12">
        <f t="shared" si="10"/>
        <v>94.348799999999997</v>
      </c>
      <c r="G69" s="12">
        <f t="shared" si="11"/>
        <v>475.17759999999998</v>
      </c>
      <c r="H69" s="12">
        <f t="shared" si="12"/>
        <v>141.86655999999999</v>
      </c>
      <c r="I69" s="27">
        <f t="shared" si="13"/>
        <v>7.0169832225387774</v>
      </c>
    </row>
    <row r="70" spans="1:9" x14ac:dyDescent="0.25">
      <c r="A70">
        <v>2</v>
      </c>
      <c r="B70" s="26">
        <v>5.6</v>
      </c>
      <c r="C70" s="12">
        <f t="shared" ref="C70:C83" si="14">C69+D69</f>
        <v>733.5136</v>
      </c>
      <c r="D70" s="25">
        <f t="shared" si="8"/>
        <v>176.60160000000002</v>
      </c>
      <c r="E70" s="13">
        <f t="shared" si="9"/>
        <v>1596</v>
      </c>
      <c r="F70" s="12">
        <f t="shared" si="10"/>
        <v>101.60640000000001</v>
      </c>
      <c r="G70" s="12">
        <f t="shared" si="11"/>
        <v>631.90719999999999</v>
      </c>
      <c r="H70" s="12">
        <f t="shared" si="12"/>
        <v>164.79712000000001</v>
      </c>
      <c r="I70" s="27">
        <f t="shared" si="13"/>
        <v>6.9668130399374473</v>
      </c>
    </row>
    <row r="71" spans="1:9" x14ac:dyDescent="0.25">
      <c r="A71">
        <v>3</v>
      </c>
      <c r="B71" s="26">
        <v>6.3</v>
      </c>
      <c r="C71" s="12">
        <f t="shared" si="14"/>
        <v>910.11519999999996</v>
      </c>
      <c r="D71" s="25">
        <f t="shared" si="8"/>
        <v>198.67679999999999</v>
      </c>
      <c r="E71" s="13">
        <f t="shared" si="9"/>
        <v>1795.5</v>
      </c>
      <c r="F71" s="12">
        <f t="shared" si="10"/>
        <v>114.30719999999999</v>
      </c>
      <c r="G71" s="12">
        <f t="shared" si="11"/>
        <v>795.80799999999999</v>
      </c>
      <c r="H71" s="12">
        <f t="shared" si="12"/>
        <v>193.88799999999998</v>
      </c>
      <c r="I71" s="27">
        <f t="shared" si="13"/>
        <v>7.005668891530207</v>
      </c>
    </row>
    <row r="72" spans="1:9" x14ac:dyDescent="0.25">
      <c r="A72">
        <v>4</v>
      </c>
      <c r="B72" s="26">
        <v>7</v>
      </c>
      <c r="C72" s="12">
        <f t="shared" si="14"/>
        <v>1108.7919999999999</v>
      </c>
      <c r="D72" s="25">
        <f t="shared" si="8"/>
        <v>220.75200000000001</v>
      </c>
      <c r="E72" s="13">
        <f t="shared" si="9"/>
        <v>1995</v>
      </c>
      <c r="F72" s="12">
        <f t="shared" si="10"/>
        <v>127.00800000000001</v>
      </c>
      <c r="G72" s="12">
        <f t="shared" si="11"/>
        <v>981.78399999999988</v>
      </c>
      <c r="H72" s="12">
        <f t="shared" si="12"/>
        <v>225.18639999999999</v>
      </c>
      <c r="I72" s="27">
        <f t="shared" si="13"/>
        <v>6.9543248392043688</v>
      </c>
    </row>
    <row r="73" spans="1:9" x14ac:dyDescent="0.25">
      <c r="A73">
        <v>5</v>
      </c>
      <c r="B73" s="26">
        <v>8</v>
      </c>
      <c r="C73" s="12">
        <f t="shared" si="14"/>
        <v>1329.5439999999999</v>
      </c>
      <c r="D73" s="25">
        <f t="shared" si="8"/>
        <v>252.28800000000001</v>
      </c>
      <c r="E73" s="13">
        <f t="shared" si="9"/>
        <v>2280</v>
      </c>
      <c r="F73" s="12">
        <f t="shared" si="10"/>
        <v>145.15200000000002</v>
      </c>
      <c r="G73" s="12">
        <f t="shared" si="11"/>
        <v>1184.3919999999998</v>
      </c>
      <c r="H73" s="12">
        <f t="shared" si="12"/>
        <v>263.59119999999996</v>
      </c>
      <c r="I73" s="27">
        <f t="shared" si="13"/>
        <v>6.9575744200021923</v>
      </c>
    </row>
    <row r="74" spans="1:9" x14ac:dyDescent="0.25">
      <c r="A74">
        <v>6</v>
      </c>
      <c r="B74" s="26">
        <v>9.1999999999999993</v>
      </c>
      <c r="C74" s="12">
        <f t="shared" si="14"/>
        <v>1581.8319999999999</v>
      </c>
      <c r="D74" s="25">
        <f t="shared" si="8"/>
        <v>290.13120000000004</v>
      </c>
      <c r="E74" s="13">
        <f t="shared" si="9"/>
        <v>2622</v>
      </c>
      <c r="F74" s="12">
        <f t="shared" si="10"/>
        <v>166.92480000000003</v>
      </c>
      <c r="G74" s="12">
        <f t="shared" si="11"/>
        <v>1414.9071999999999</v>
      </c>
      <c r="H74" s="12">
        <f t="shared" si="12"/>
        <v>308.41552000000001</v>
      </c>
      <c r="I74" s="27">
        <f t="shared" si="13"/>
        <v>6.9578861103947567</v>
      </c>
    </row>
    <row r="75" spans="1:9" x14ac:dyDescent="0.25">
      <c r="A75">
        <v>7</v>
      </c>
      <c r="B75" s="26">
        <v>10.8</v>
      </c>
      <c r="C75" s="12">
        <f t="shared" si="14"/>
        <v>1871.9631999999999</v>
      </c>
      <c r="D75" s="25">
        <f t="shared" si="8"/>
        <v>340.58879999999999</v>
      </c>
      <c r="E75" s="13">
        <f t="shared" si="9"/>
        <v>3078</v>
      </c>
      <c r="F75" s="12">
        <f t="shared" si="10"/>
        <v>195.95519999999999</v>
      </c>
      <c r="G75" s="12">
        <f t="shared" si="11"/>
        <v>1676.0079999999998</v>
      </c>
      <c r="H75" s="12">
        <f t="shared" si="12"/>
        <v>363.55599999999993</v>
      </c>
      <c r="I75" s="27">
        <f t="shared" si="13"/>
        <v>7.0101376552459262</v>
      </c>
    </row>
    <row r="76" spans="1:9" x14ac:dyDescent="0.25">
      <c r="A76">
        <v>8</v>
      </c>
      <c r="B76" s="26">
        <v>12.5</v>
      </c>
      <c r="C76" s="12">
        <f t="shared" si="14"/>
        <v>2212.5519999999997</v>
      </c>
      <c r="D76" s="25">
        <f t="shared" si="8"/>
        <v>394.2</v>
      </c>
      <c r="E76" s="13">
        <f t="shared" si="9"/>
        <v>3562.5</v>
      </c>
      <c r="F76" s="12">
        <f t="shared" si="10"/>
        <v>226.8</v>
      </c>
      <c r="G76" s="12">
        <f t="shared" si="11"/>
        <v>1985.7519999999997</v>
      </c>
      <c r="H76" s="12">
        <f t="shared" si="12"/>
        <v>425.37519999999995</v>
      </c>
      <c r="I76" s="27">
        <f t="shared" si="13"/>
        <v>7.0103795884201165</v>
      </c>
    </row>
    <row r="77" spans="1:9" x14ac:dyDescent="0.25">
      <c r="A77">
        <v>9</v>
      </c>
      <c r="B77" s="26">
        <v>14.3</v>
      </c>
      <c r="C77" s="12">
        <f t="shared" si="14"/>
        <v>2606.7519999999995</v>
      </c>
      <c r="D77" s="25">
        <f t="shared" si="8"/>
        <v>450.96479999999997</v>
      </c>
      <c r="E77" s="13">
        <f t="shared" si="9"/>
        <v>4075.5</v>
      </c>
      <c r="F77" s="12">
        <f t="shared" si="10"/>
        <v>259.45919999999995</v>
      </c>
      <c r="G77" s="12">
        <f t="shared" si="11"/>
        <v>2347.2927999999997</v>
      </c>
      <c r="H77" s="12">
        <f t="shared" si="12"/>
        <v>494.18847999999991</v>
      </c>
      <c r="I77" s="27">
        <f t="shared" si="13"/>
        <v>6.9610719634179485</v>
      </c>
    </row>
    <row r="78" spans="1:9" x14ac:dyDescent="0.25">
      <c r="A78">
        <v>10</v>
      </c>
      <c r="B78" s="26">
        <v>17</v>
      </c>
      <c r="C78" s="31">
        <f t="shared" si="14"/>
        <v>3057.7167999999992</v>
      </c>
      <c r="D78" s="25">
        <f t="shared" si="8"/>
        <v>536.11199999999997</v>
      </c>
      <c r="E78" s="13">
        <f t="shared" si="9"/>
        <v>4845</v>
      </c>
      <c r="F78" s="12">
        <f t="shared" si="10"/>
        <v>308.44799999999998</v>
      </c>
      <c r="G78" s="12">
        <f t="shared" si="11"/>
        <v>2749.2687999999994</v>
      </c>
      <c r="H78" s="12">
        <f t="shared" si="12"/>
        <v>583.37487999999985</v>
      </c>
      <c r="I78" s="27">
        <f t="shared" si="13"/>
        <v>7.0233671012487537</v>
      </c>
    </row>
    <row r="79" spans="1:9" x14ac:dyDescent="0.25">
      <c r="A79">
        <v>11</v>
      </c>
      <c r="B79" s="26">
        <v>19.399999999999999</v>
      </c>
      <c r="C79" s="12">
        <f t="shared" si="14"/>
        <v>3593.8287999999993</v>
      </c>
      <c r="D79" s="25">
        <f t="shared" si="8"/>
        <v>611.79840000000002</v>
      </c>
      <c r="E79" s="13">
        <f t="shared" si="9"/>
        <v>5529</v>
      </c>
      <c r="F79" s="12">
        <f t="shared" si="10"/>
        <v>351.99360000000001</v>
      </c>
      <c r="G79" s="12">
        <f t="shared" si="11"/>
        <v>3241.8351999999995</v>
      </c>
      <c r="H79" s="12">
        <f t="shared" si="12"/>
        <v>676.17711999999983</v>
      </c>
      <c r="I79" s="27">
        <f t="shared" si="13"/>
        <v>6.9578050155405826</v>
      </c>
    </row>
    <row r="80" spans="1:9" x14ac:dyDescent="0.25">
      <c r="A80">
        <v>12</v>
      </c>
      <c r="B80" s="26">
        <v>23</v>
      </c>
      <c r="C80" s="12">
        <f t="shared" si="14"/>
        <v>4205.627199999999</v>
      </c>
      <c r="D80" s="25">
        <f t="shared" si="8"/>
        <v>725.32799999999997</v>
      </c>
      <c r="E80" s="13">
        <f t="shared" si="9"/>
        <v>6555</v>
      </c>
      <c r="F80" s="12">
        <f t="shared" si="10"/>
        <v>417.31200000000001</v>
      </c>
      <c r="G80" s="12">
        <f t="shared" si="11"/>
        <v>3788.3151999999991</v>
      </c>
      <c r="H80" s="12">
        <f t="shared" si="12"/>
        <v>796.14351999999985</v>
      </c>
      <c r="I80" s="27">
        <f t="shared" si="13"/>
        <v>7.0019222745567324</v>
      </c>
    </row>
    <row r="81" spans="1:9" x14ac:dyDescent="0.25">
      <c r="A81">
        <v>13</v>
      </c>
      <c r="B81" s="26">
        <v>27</v>
      </c>
      <c r="C81" s="12">
        <f t="shared" si="14"/>
        <v>4930.9551999999985</v>
      </c>
      <c r="D81" s="25">
        <f t="shared" si="8"/>
        <v>851.47199999999998</v>
      </c>
      <c r="E81" s="13">
        <f t="shared" si="9"/>
        <v>7695</v>
      </c>
      <c r="F81" s="12">
        <f t="shared" si="10"/>
        <v>489.88799999999998</v>
      </c>
      <c r="G81" s="12">
        <f t="shared" si="11"/>
        <v>4441.0671999999986</v>
      </c>
      <c r="H81" s="12">
        <f t="shared" si="12"/>
        <v>933.99471999999969</v>
      </c>
      <c r="I81" s="27">
        <f t="shared" si="13"/>
        <v>7.0207657073208232</v>
      </c>
    </row>
    <row r="82" spans="1:9" x14ac:dyDescent="0.25">
      <c r="A82">
        <v>14</v>
      </c>
      <c r="B82" s="26">
        <v>31</v>
      </c>
      <c r="C82" s="12">
        <f t="shared" si="14"/>
        <v>5782.4271999999983</v>
      </c>
      <c r="D82" s="25">
        <f t="shared" si="8"/>
        <v>977.61599999999999</v>
      </c>
      <c r="E82" s="13">
        <f t="shared" si="9"/>
        <v>8835</v>
      </c>
      <c r="F82" s="12">
        <f t="shared" si="10"/>
        <v>562.46399999999994</v>
      </c>
      <c r="G82" s="12">
        <f t="shared" si="11"/>
        <v>5219.9631999999983</v>
      </c>
      <c r="H82" s="12">
        <f t="shared" si="12"/>
        <v>1084.4603199999997</v>
      </c>
      <c r="I82" s="27">
        <f t="shared" si="13"/>
        <v>6.9673537831319159</v>
      </c>
    </row>
    <row r="83" spans="1:9" x14ac:dyDescent="0.25">
      <c r="A83">
        <v>15</v>
      </c>
      <c r="B83" s="26">
        <v>37</v>
      </c>
      <c r="C83" s="12">
        <f t="shared" si="14"/>
        <v>6760.0431999999983</v>
      </c>
      <c r="D83" s="25">
        <f t="shared" si="8"/>
        <v>1166.8320000000001</v>
      </c>
      <c r="E83" s="13">
        <f t="shared" si="9"/>
        <v>10545</v>
      </c>
      <c r="F83" s="12">
        <f t="shared" si="10"/>
        <v>671.32800000000009</v>
      </c>
      <c r="G83" s="12">
        <f t="shared" si="11"/>
        <v>6088.7151999999978</v>
      </c>
      <c r="H83" s="12">
        <f t="shared" si="12"/>
        <v>1280.1995199999997</v>
      </c>
      <c r="I83" s="27">
        <f t="shared" si="13"/>
        <v>7.0298489861354483</v>
      </c>
    </row>
    <row r="85" spans="1:9" x14ac:dyDescent="0.25">
      <c r="H85" s="1" t="s">
        <v>37</v>
      </c>
    </row>
    <row r="86" spans="1:9" x14ac:dyDescent="0.25">
      <c r="E86" s="1" t="s">
        <v>39</v>
      </c>
      <c r="F86" s="1" t="s">
        <v>35</v>
      </c>
      <c r="G86" s="1" t="s">
        <v>29</v>
      </c>
      <c r="H86" s="1" t="s">
        <v>38</v>
      </c>
    </row>
    <row r="87" spans="1:9" x14ac:dyDescent="0.25">
      <c r="A87" s="4" t="s">
        <v>11</v>
      </c>
      <c r="B87" s="5" t="s">
        <v>25</v>
      </c>
      <c r="C87" s="5" t="s">
        <v>34</v>
      </c>
      <c r="D87" s="5" t="s">
        <v>12</v>
      </c>
      <c r="E87" s="1" t="s">
        <v>40</v>
      </c>
      <c r="F87" s="1" t="s">
        <v>36</v>
      </c>
      <c r="G87" s="1" t="s">
        <v>36</v>
      </c>
      <c r="H87" s="1" t="s">
        <v>36</v>
      </c>
      <c r="I87" s="5" t="s">
        <v>13</v>
      </c>
    </row>
    <row r="88" spans="1:9" x14ac:dyDescent="0.25">
      <c r="A88">
        <v>0</v>
      </c>
      <c r="B88" s="32">
        <v>4.2</v>
      </c>
      <c r="C88" s="29">
        <v>530</v>
      </c>
      <c r="D88" s="25">
        <f t="shared" ref="D88:D103" si="15">B88*secondsPerYear/1000/1000</f>
        <v>132.4512</v>
      </c>
      <c r="E88" s="13">
        <f t="shared" ref="E88:E103" si="16">B88*secondsPerBlock*avgTrSize/1000</f>
        <v>1197</v>
      </c>
      <c r="F88" s="12">
        <f t="shared" ref="F88:F103" si="17">assumevalidBlockTime*D88/365</f>
        <v>76.204800000000006</v>
      </c>
      <c r="G88" s="12">
        <f t="shared" ref="G88:G103" si="18">C88-F88</f>
        <v>453.79520000000002</v>
      </c>
      <c r="H88" s="12">
        <f t="shared" ref="H88:H103" si="19">F88+G88*(1-assumevalidSpeedup)</f>
        <v>121.58431999999999</v>
      </c>
      <c r="I88" s="27">
        <f t="shared" ref="I88:I103" si="20">(H88*1000*1000/(throughput3*POWER(1+cpuGrowth,A88)))/(secondsPerYear/365)</f>
        <v>7.0361296296296292</v>
      </c>
    </row>
    <row r="89" spans="1:9" x14ac:dyDescent="0.25">
      <c r="A89">
        <v>1</v>
      </c>
      <c r="B89" s="26">
        <v>4.5999999999999996</v>
      </c>
      <c r="C89" s="12">
        <f>C88+D88</f>
        <v>662.45119999999997</v>
      </c>
      <c r="D89" s="25">
        <f t="shared" si="15"/>
        <v>145.06560000000002</v>
      </c>
      <c r="E89" s="13">
        <f t="shared" si="16"/>
        <v>1311</v>
      </c>
      <c r="F89" s="12">
        <f t="shared" si="17"/>
        <v>83.462400000000017</v>
      </c>
      <c r="G89" s="12">
        <f t="shared" si="18"/>
        <v>578.98879999999997</v>
      </c>
      <c r="H89" s="12">
        <f t="shared" si="19"/>
        <v>141.36127999999999</v>
      </c>
      <c r="I89" s="27">
        <f t="shared" si="20"/>
        <v>6.9919911364355816</v>
      </c>
    </row>
    <row r="90" spans="1:9" x14ac:dyDescent="0.25">
      <c r="A90">
        <v>2</v>
      </c>
      <c r="B90" s="26">
        <v>5.2</v>
      </c>
      <c r="C90" s="12">
        <f t="shared" ref="C90:C103" si="21">C89+D89</f>
        <v>807.51679999999999</v>
      </c>
      <c r="D90" s="25">
        <f t="shared" si="15"/>
        <v>163.9872</v>
      </c>
      <c r="E90" s="13">
        <f t="shared" si="16"/>
        <v>1482</v>
      </c>
      <c r="F90" s="12">
        <f t="shared" si="17"/>
        <v>94.348799999999997</v>
      </c>
      <c r="G90" s="12">
        <f t="shared" si="18"/>
        <v>713.16800000000001</v>
      </c>
      <c r="H90" s="12">
        <f t="shared" si="19"/>
        <v>165.66559999999998</v>
      </c>
      <c r="I90" s="27">
        <f t="shared" si="20"/>
        <v>7.0035281098908824</v>
      </c>
    </row>
    <row r="91" spans="1:9" x14ac:dyDescent="0.25">
      <c r="A91">
        <v>3</v>
      </c>
      <c r="B91" s="26">
        <v>5.9</v>
      </c>
      <c r="C91" s="12">
        <f t="shared" si="21"/>
        <v>971.50400000000002</v>
      </c>
      <c r="D91" s="25">
        <f t="shared" si="15"/>
        <v>186.0624</v>
      </c>
      <c r="E91" s="13">
        <f t="shared" si="16"/>
        <v>1681.5</v>
      </c>
      <c r="F91" s="12">
        <f t="shared" si="17"/>
        <v>107.0496</v>
      </c>
      <c r="G91" s="12">
        <f t="shared" si="18"/>
        <v>864.45440000000008</v>
      </c>
      <c r="H91" s="12">
        <f t="shared" si="19"/>
        <v>193.49503999999999</v>
      </c>
      <c r="I91" s="27">
        <f t="shared" si="20"/>
        <v>6.9914702425802169</v>
      </c>
    </row>
    <row r="92" spans="1:9" x14ac:dyDescent="0.25">
      <c r="A92">
        <v>4</v>
      </c>
      <c r="B92" s="26">
        <v>6.7</v>
      </c>
      <c r="C92" s="12">
        <f t="shared" si="21"/>
        <v>1157.5663999999999</v>
      </c>
      <c r="D92" s="25">
        <f t="shared" si="15"/>
        <v>211.2912</v>
      </c>
      <c r="E92" s="13">
        <f t="shared" si="16"/>
        <v>1909.5</v>
      </c>
      <c r="F92" s="12">
        <f t="shared" si="17"/>
        <v>121.56480000000001</v>
      </c>
      <c r="G92" s="12">
        <f t="shared" si="18"/>
        <v>1036.0015999999998</v>
      </c>
      <c r="H92" s="12">
        <f t="shared" si="19"/>
        <v>225.16495999999995</v>
      </c>
      <c r="I92" s="27">
        <f t="shared" si="20"/>
        <v>6.9536627178482266</v>
      </c>
    </row>
    <row r="93" spans="1:9" x14ac:dyDescent="0.25">
      <c r="A93">
        <v>5</v>
      </c>
      <c r="B93" s="26">
        <v>7.8</v>
      </c>
      <c r="C93" s="12">
        <f t="shared" si="21"/>
        <v>1368.8575999999998</v>
      </c>
      <c r="D93" s="25">
        <f t="shared" si="15"/>
        <v>245.98079999999999</v>
      </c>
      <c r="E93" s="13">
        <f t="shared" si="16"/>
        <v>2223</v>
      </c>
      <c r="F93" s="12">
        <f t="shared" si="17"/>
        <v>141.5232</v>
      </c>
      <c r="G93" s="12">
        <f t="shared" si="18"/>
        <v>1227.3343999999997</v>
      </c>
      <c r="H93" s="12">
        <f t="shared" si="19"/>
        <v>264.25663999999995</v>
      </c>
      <c r="I93" s="27">
        <f t="shared" si="20"/>
        <v>6.9751389226185418</v>
      </c>
    </row>
    <row r="94" spans="1:9" x14ac:dyDescent="0.25">
      <c r="A94">
        <v>6</v>
      </c>
      <c r="B94" s="26">
        <v>9</v>
      </c>
      <c r="C94" s="12">
        <f t="shared" si="21"/>
        <v>1614.8383999999999</v>
      </c>
      <c r="D94" s="25">
        <f t="shared" si="15"/>
        <v>283.82400000000001</v>
      </c>
      <c r="E94" s="13">
        <f t="shared" si="16"/>
        <v>2565</v>
      </c>
      <c r="F94" s="12">
        <f t="shared" si="17"/>
        <v>163.29599999999999</v>
      </c>
      <c r="G94" s="12">
        <f t="shared" si="18"/>
        <v>1451.5423999999998</v>
      </c>
      <c r="H94" s="12">
        <f t="shared" si="19"/>
        <v>308.45023999999995</v>
      </c>
      <c r="I94" s="27">
        <f t="shared" si="20"/>
        <v>6.9586693971948259</v>
      </c>
    </row>
    <row r="95" spans="1:9" x14ac:dyDescent="0.25">
      <c r="A95">
        <v>7</v>
      </c>
      <c r="B95" s="26">
        <v>10.5</v>
      </c>
      <c r="C95" s="12">
        <f t="shared" si="21"/>
        <v>1898.6623999999999</v>
      </c>
      <c r="D95" s="25">
        <f t="shared" si="15"/>
        <v>331.12799999999999</v>
      </c>
      <c r="E95" s="13">
        <f t="shared" si="16"/>
        <v>2992.5</v>
      </c>
      <c r="F95" s="12">
        <f t="shared" si="17"/>
        <v>190.51199999999997</v>
      </c>
      <c r="G95" s="12">
        <f t="shared" si="18"/>
        <v>1708.1504</v>
      </c>
      <c r="H95" s="12">
        <f t="shared" si="19"/>
        <v>361.3270399999999</v>
      </c>
      <c r="I95" s="27">
        <f t="shared" si="20"/>
        <v>6.9671585366836224</v>
      </c>
    </row>
    <row r="96" spans="1:9" x14ac:dyDescent="0.25">
      <c r="A96">
        <v>8</v>
      </c>
      <c r="B96" s="26">
        <v>12.2</v>
      </c>
      <c r="C96" s="12">
        <f t="shared" si="21"/>
        <v>2229.7903999999999</v>
      </c>
      <c r="D96" s="25">
        <f t="shared" si="15"/>
        <v>384.73920000000004</v>
      </c>
      <c r="E96" s="13">
        <f t="shared" si="16"/>
        <v>3477</v>
      </c>
      <c r="F96" s="12">
        <f t="shared" si="17"/>
        <v>221.35680000000002</v>
      </c>
      <c r="G96" s="12">
        <f t="shared" si="18"/>
        <v>2008.4335999999998</v>
      </c>
      <c r="H96" s="12">
        <f t="shared" si="19"/>
        <v>422.20015999999998</v>
      </c>
      <c r="I96" s="27">
        <f t="shared" si="20"/>
        <v>6.9580534640752632</v>
      </c>
    </row>
    <row r="97" spans="1:9" x14ac:dyDescent="0.25">
      <c r="A97">
        <v>9</v>
      </c>
      <c r="B97" s="26">
        <v>14.3</v>
      </c>
      <c r="C97" s="12">
        <f t="shared" si="21"/>
        <v>2614.5295999999998</v>
      </c>
      <c r="D97" s="25">
        <f t="shared" si="15"/>
        <v>450.96479999999997</v>
      </c>
      <c r="E97" s="13">
        <f t="shared" si="16"/>
        <v>4075.5</v>
      </c>
      <c r="F97" s="12">
        <f t="shared" si="17"/>
        <v>259.45919999999995</v>
      </c>
      <c r="G97" s="12">
        <f t="shared" si="18"/>
        <v>2355.0704000000001</v>
      </c>
      <c r="H97" s="12">
        <f t="shared" si="19"/>
        <v>494.96623999999991</v>
      </c>
      <c r="I97" s="27">
        <f t="shared" si="20"/>
        <v>6.9720273853862391</v>
      </c>
    </row>
    <row r="98" spans="1:9" x14ac:dyDescent="0.25">
      <c r="A98">
        <v>10</v>
      </c>
      <c r="B98" s="26">
        <v>16.600000000000001</v>
      </c>
      <c r="C98" s="31">
        <f t="shared" si="21"/>
        <v>3065.4943999999996</v>
      </c>
      <c r="D98" s="25">
        <f t="shared" si="15"/>
        <v>523.49760000000003</v>
      </c>
      <c r="E98" s="13">
        <f t="shared" si="16"/>
        <v>4731</v>
      </c>
      <c r="F98" s="12">
        <f t="shared" si="17"/>
        <v>301.19040000000001</v>
      </c>
      <c r="G98" s="12">
        <f t="shared" si="18"/>
        <v>2764.3039999999996</v>
      </c>
      <c r="H98" s="12">
        <f t="shared" si="19"/>
        <v>577.62079999999992</v>
      </c>
      <c r="I98" s="27">
        <f t="shared" si="20"/>
        <v>6.9540925788868142</v>
      </c>
    </row>
    <row r="99" spans="1:9" x14ac:dyDescent="0.25">
      <c r="A99">
        <v>11</v>
      </c>
      <c r="B99" s="26">
        <v>19.399999999999999</v>
      </c>
      <c r="C99" s="12">
        <f t="shared" si="21"/>
        <v>3588.9919999999997</v>
      </c>
      <c r="D99" s="25">
        <f t="shared" si="15"/>
        <v>611.79840000000002</v>
      </c>
      <c r="E99" s="13">
        <f t="shared" si="16"/>
        <v>5529</v>
      </c>
      <c r="F99" s="12">
        <f t="shared" si="17"/>
        <v>351.99360000000001</v>
      </c>
      <c r="G99" s="12">
        <f t="shared" si="18"/>
        <v>3236.9983999999995</v>
      </c>
      <c r="H99" s="12">
        <f t="shared" si="19"/>
        <v>675.6934399999999</v>
      </c>
      <c r="I99" s="27">
        <f t="shared" si="20"/>
        <v>6.9528279895064635</v>
      </c>
    </row>
    <row r="100" spans="1:9" x14ac:dyDescent="0.25">
      <c r="A100">
        <v>12</v>
      </c>
      <c r="B100" s="26">
        <v>23</v>
      </c>
      <c r="C100" s="12">
        <f t="shared" si="21"/>
        <v>4200.7903999999999</v>
      </c>
      <c r="D100" s="25">
        <f t="shared" si="15"/>
        <v>725.32799999999997</v>
      </c>
      <c r="E100" s="13">
        <f t="shared" si="16"/>
        <v>6555</v>
      </c>
      <c r="F100" s="12">
        <f t="shared" si="17"/>
        <v>417.31200000000001</v>
      </c>
      <c r="G100" s="12">
        <f t="shared" si="18"/>
        <v>3783.4784</v>
      </c>
      <c r="H100" s="12">
        <f t="shared" si="19"/>
        <v>795.65983999999992</v>
      </c>
      <c r="I100" s="27">
        <f t="shared" si="20"/>
        <v>6.9976684061515027</v>
      </c>
    </row>
    <row r="101" spans="1:9" x14ac:dyDescent="0.25">
      <c r="A101">
        <v>13</v>
      </c>
      <c r="B101" s="26">
        <v>27</v>
      </c>
      <c r="C101" s="12">
        <f t="shared" si="21"/>
        <v>4926.1183999999994</v>
      </c>
      <c r="D101" s="25">
        <f t="shared" si="15"/>
        <v>851.47199999999998</v>
      </c>
      <c r="E101" s="13">
        <f t="shared" si="16"/>
        <v>7695</v>
      </c>
      <c r="F101" s="12">
        <f t="shared" si="17"/>
        <v>489.88799999999998</v>
      </c>
      <c r="G101" s="12">
        <f t="shared" si="18"/>
        <v>4436.2303999999995</v>
      </c>
      <c r="H101" s="12">
        <f t="shared" si="19"/>
        <v>933.51103999999987</v>
      </c>
      <c r="I101" s="27">
        <f t="shared" si="20"/>
        <v>7.0171299223590875</v>
      </c>
    </row>
    <row r="102" spans="1:9" x14ac:dyDescent="0.25">
      <c r="A102">
        <v>14</v>
      </c>
      <c r="B102" s="26">
        <v>31</v>
      </c>
      <c r="C102" s="12">
        <f t="shared" si="21"/>
        <v>5777.5903999999991</v>
      </c>
      <c r="D102" s="25">
        <f t="shared" si="15"/>
        <v>977.61599999999999</v>
      </c>
      <c r="E102" s="13">
        <f t="shared" si="16"/>
        <v>8835</v>
      </c>
      <c r="F102" s="12">
        <f t="shared" si="17"/>
        <v>562.46399999999994</v>
      </c>
      <c r="G102" s="12">
        <f t="shared" si="18"/>
        <v>5215.1263999999992</v>
      </c>
      <c r="H102" s="12">
        <f t="shared" si="19"/>
        <v>1083.9766399999999</v>
      </c>
      <c r="I102" s="27">
        <f t="shared" si="20"/>
        <v>6.9642462746176159</v>
      </c>
    </row>
    <row r="103" spans="1:9" x14ac:dyDescent="0.25">
      <c r="A103">
        <v>15</v>
      </c>
      <c r="B103" s="26">
        <v>37</v>
      </c>
      <c r="C103" s="12">
        <f t="shared" si="21"/>
        <v>6755.2063999999991</v>
      </c>
      <c r="D103" s="25">
        <f t="shared" si="15"/>
        <v>1166.8320000000001</v>
      </c>
      <c r="E103" s="13">
        <f t="shared" si="16"/>
        <v>10545</v>
      </c>
      <c r="F103" s="12">
        <f t="shared" si="17"/>
        <v>671.32800000000009</v>
      </c>
      <c r="G103" s="12">
        <f t="shared" si="18"/>
        <v>6083.8783999999987</v>
      </c>
      <c r="H103" s="12">
        <f t="shared" si="19"/>
        <v>1279.7158399999998</v>
      </c>
      <c r="I103" s="27">
        <f t="shared" si="20"/>
        <v>7.0271929959522845</v>
      </c>
    </row>
    <row r="125" spans="1:10" x14ac:dyDescent="0.25">
      <c r="A125" s="11" t="s">
        <v>58</v>
      </c>
    </row>
    <row r="126" spans="1:10" x14ac:dyDescent="0.25">
      <c r="A126" s="1"/>
      <c r="B126" s="2"/>
      <c r="D126" s="40" t="s">
        <v>2</v>
      </c>
      <c r="E126" s="40" t="s">
        <v>3</v>
      </c>
    </row>
    <row r="127" spans="1:10" ht="15.75" x14ac:dyDescent="0.25">
      <c r="A127" s="2" t="s">
        <v>10</v>
      </c>
      <c r="B127" s="2" t="s">
        <v>8</v>
      </c>
      <c r="C127" s="16">
        <v>1</v>
      </c>
      <c r="D127" s="17">
        <v>128</v>
      </c>
      <c r="E127" s="17">
        <v>2</v>
      </c>
      <c r="F127" s="18">
        <v>200</v>
      </c>
      <c r="G127" s="19" t="s">
        <v>6</v>
      </c>
      <c r="H127" s="20">
        <v>7</v>
      </c>
      <c r="I127" s="21">
        <v>0.75</v>
      </c>
      <c r="J127" s="21">
        <v>0.1</v>
      </c>
    </row>
    <row r="129" spans="1:5" x14ac:dyDescent="0.25">
      <c r="B129" s="1" t="s">
        <v>54</v>
      </c>
      <c r="C129" s="1" t="s">
        <v>54</v>
      </c>
      <c r="D129" s="1" t="s">
        <v>63</v>
      </c>
      <c r="E129" s="1" t="s">
        <v>56</v>
      </c>
    </row>
    <row r="130" spans="1:5" x14ac:dyDescent="0.25">
      <c r="A130" s="4" t="s">
        <v>11</v>
      </c>
      <c r="B130" s="1" t="s">
        <v>61</v>
      </c>
      <c r="C130" s="1" t="s">
        <v>57</v>
      </c>
      <c r="D130" s="1" t="s">
        <v>64</v>
      </c>
      <c r="E130" s="1" t="s">
        <v>43</v>
      </c>
    </row>
    <row r="131" spans="1:5" x14ac:dyDescent="0.25">
      <c r="A131">
        <v>0</v>
      </c>
      <c r="B131" s="41">
        <f>disk4*ongoingResourcePercent4*POWER(1+memoryGrowth, A131)</f>
        <v>12.8</v>
      </c>
      <c r="C131" s="7">
        <f>B131/utxoExpand/utxoMemoryPercent</f>
        <v>85.333333333333343</v>
      </c>
      <c r="D131" s="7">
        <f>curThroughput*avgTrSize*secondsPerYear/1000/KBperGB</f>
        <v>62.914319999999996</v>
      </c>
      <c r="E131" s="43">
        <f xml:space="preserve"> utxoSize</f>
        <v>3</v>
      </c>
    </row>
    <row r="132" spans="1:5" x14ac:dyDescent="0.25">
      <c r="A132">
        <v>1</v>
      </c>
      <c r="B132" s="41">
        <f>disk4*ongoingResourcePercent4*POWER(1+memoryGrowth, A132)</f>
        <v>14.719999999999999</v>
      </c>
      <c r="C132" s="7">
        <f>B132/utxoExpand/utxoMemoryPercent</f>
        <v>98.13333333333334</v>
      </c>
      <c r="D132" s="7">
        <f>curThroughput*avgTrSize*secondsPerYear/1000/KBperGB</f>
        <v>62.914319999999996</v>
      </c>
      <c r="E132" s="7">
        <f xml:space="preserve"> E131 + MIN(E131*utxoGrowth,D132)</f>
        <v>4.5</v>
      </c>
    </row>
    <row r="133" spans="1:5" x14ac:dyDescent="0.25">
      <c r="A133">
        <v>2</v>
      </c>
      <c r="B133" s="41">
        <f>disk4*ongoingResourcePercent4*POWER(1+memoryGrowth, A133)</f>
        <v>16.927999999999997</v>
      </c>
      <c r="C133" s="7">
        <f>B133/utxoExpand/utxoMemoryPercent</f>
        <v>112.85333333333334</v>
      </c>
      <c r="D133" s="7">
        <f>curThroughput*avgTrSize*secondsPerYear/1000/KBperGB</f>
        <v>62.914319999999996</v>
      </c>
      <c r="E133" s="7">
        <f xml:space="preserve"> E132 + MIN(E132*utxoGrowth,D133)</f>
        <v>6.75</v>
      </c>
    </row>
    <row r="134" spans="1:5" x14ac:dyDescent="0.25">
      <c r="A134">
        <v>3</v>
      </c>
      <c r="B134" s="41">
        <f>disk4*ongoingResourcePercent4*POWER(1+memoryGrowth, A134)</f>
        <v>19.467199999999995</v>
      </c>
      <c r="C134" s="7">
        <f>B134/utxoExpand/utxoMemoryPercent</f>
        <v>129.78133333333332</v>
      </c>
      <c r="D134" s="7">
        <f>curThroughput*avgTrSize*secondsPerYear/1000/KBperGB</f>
        <v>62.914319999999996</v>
      </c>
      <c r="E134" s="7">
        <f xml:space="preserve"> E133 + MIN(E133*utxoGrowth,D134)</f>
        <v>10.125</v>
      </c>
    </row>
    <row r="135" spans="1:5" x14ac:dyDescent="0.25">
      <c r="A135">
        <v>4</v>
      </c>
      <c r="B135" s="41">
        <f>disk4*ongoingResourcePercent4*POWER(1+memoryGrowth, A135)</f>
        <v>22.387279999999993</v>
      </c>
      <c r="C135" s="7">
        <f>B135/utxoExpand/utxoMemoryPercent</f>
        <v>149.24853333333331</v>
      </c>
      <c r="D135" s="7">
        <f>curThroughput*avgTrSize*secondsPerYear/1000/KBperGB</f>
        <v>62.914319999999996</v>
      </c>
      <c r="E135" s="7">
        <f xml:space="preserve"> E134 + MIN(E134*utxoGrowth,D135)</f>
        <v>15.1875</v>
      </c>
    </row>
    <row r="136" spans="1:5" x14ac:dyDescent="0.25">
      <c r="A136">
        <v>5</v>
      </c>
      <c r="B136" s="41">
        <f>disk4*ongoingResourcePercent4*POWER(1+memoryGrowth, A136)</f>
        <v>25.745371999999993</v>
      </c>
      <c r="C136" s="7">
        <f>B136/utxoExpand/utxoMemoryPercent</f>
        <v>171.63581333333332</v>
      </c>
      <c r="D136" s="7">
        <f>curThroughput*avgTrSize*secondsPerYear/1000/KBperGB</f>
        <v>62.914319999999996</v>
      </c>
      <c r="E136" s="7">
        <f xml:space="preserve"> E135 + MIN(E135*utxoGrowth,D136)</f>
        <v>22.78125</v>
      </c>
    </row>
    <row r="137" spans="1:5" x14ac:dyDescent="0.25">
      <c r="A137">
        <v>6</v>
      </c>
      <c r="B137" s="41">
        <f>disk4*ongoingResourcePercent4*POWER(1+memoryGrowth, A137)</f>
        <v>29.607177799999988</v>
      </c>
      <c r="C137" s="7">
        <f>B137/utxoExpand/utxoMemoryPercent</f>
        <v>197.38118533333329</v>
      </c>
      <c r="D137" s="7">
        <f>curThroughput*avgTrSize*secondsPerYear/1000/KBperGB</f>
        <v>62.914319999999996</v>
      </c>
      <c r="E137" s="7">
        <f xml:space="preserve"> E136 + MIN(E136*utxoGrowth,D137)</f>
        <v>34.171875</v>
      </c>
    </row>
    <row r="138" spans="1:5" x14ac:dyDescent="0.25">
      <c r="A138">
        <v>7</v>
      </c>
      <c r="B138" s="41">
        <f>disk4*ongoingResourcePercent4*POWER(1+memoryGrowth, A138)</f>
        <v>34.048254469999982</v>
      </c>
      <c r="C138" s="7">
        <f>B138/utxoExpand/utxoMemoryPercent</f>
        <v>226.98836313333322</v>
      </c>
      <c r="D138" s="7">
        <f>curThroughput*avgTrSize*secondsPerYear/1000/KBperGB</f>
        <v>62.914319999999996</v>
      </c>
      <c r="E138" s="7">
        <f xml:space="preserve"> E137 + MIN(E137*utxoGrowth,D138)</f>
        <v>51.2578125</v>
      </c>
    </row>
    <row r="139" spans="1:5" x14ac:dyDescent="0.25">
      <c r="A139">
        <v>8</v>
      </c>
      <c r="B139" s="41">
        <f>disk4*ongoingResourcePercent4*POWER(1+memoryGrowth, A139)</f>
        <v>39.155492640499972</v>
      </c>
      <c r="C139" s="7">
        <f>B139/utxoExpand/utxoMemoryPercent</f>
        <v>261.03661760333318</v>
      </c>
      <c r="D139" s="7">
        <f>curThroughput*avgTrSize*secondsPerYear/1000/KBperGB</f>
        <v>62.914319999999996</v>
      </c>
      <c r="E139" s="7">
        <f xml:space="preserve"> E138 + MIN(E138*utxoGrowth,D139)</f>
        <v>76.88671875</v>
      </c>
    </row>
    <row r="140" spans="1:5" x14ac:dyDescent="0.25">
      <c r="A140">
        <v>9</v>
      </c>
      <c r="B140" s="41">
        <f>disk4*ongoingResourcePercent4*POWER(1+memoryGrowth, A140)</f>
        <v>45.028816536574965</v>
      </c>
      <c r="C140" s="7">
        <f>B140/utxoExpand/utxoMemoryPercent</f>
        <v>300.19211024383316</v>
      </c>
      <c r="D140" s="7">
        <f>curThroughput*avgTrSize*secondsPerYear/1000/KBperGB</f>
        <v>62.914319999999996</v>
      </c>
      <c r="E140" s="7">
        <f xml:space="preserve"> E139 + MIN(E139*utxoGrowth,D140)</f>
        <v>115.330078125</v>
      </c>
    </row>
    <row r="141" spans="1:5" x14ac:dyDescent="0.25">
      <c r="A141">
        <v>10</v>
      </c>
      <c r="B141" s="41">
        <f>disk4*ongoingResourcePercent4*POWER(1+memoryGrowth, A141)</f>
        <v>51.78313901706121</v>
      </c>
      <c r="C141" s="7">
        <f>B141/utxoExpand/utxoMemoryPercent</f>
        <v>345.22092678040809</v>
      </c>
      <c r="D141" s="7">
        <f>curThroughput*avgTrSize*secondsPerYear/1000/KBperGB</f>
        <v>62.914319999999996</v>
      </c>
      <c r="E141" s="7">
        <f xml:space="preserve"> E140 + MIN(E140*utxoGrowth,D141)</f>
        <v>172.9951171875</v>
      </c>
    </row>
    <row r="142" spans="1:5" x14ac:dyDescent="0.25">
      <c r="A142">
        <v>11</v>
      </c>
      <c r="B142" s="41">
        <f>disk4*ongoingResourcePercent4*POWER(1+memoryGrowth, A142)</f>
        <v>59.550609869620388</v>
      </c>
      <c r="C142" s="7">
        <f>B142/utxoExpand/utxoMemoryPercent</f>
        <v>397.00406579746925</v>
      </c>
      <c r="D142" s="7">
        <f>curThroughput*avgTrSize*secondsPerYear/1000/KBperGB</f>
        <v>62.914319999999996</v>
      </c>
      <c r="E142" s="7">
        <f xml:space="preserve"> E141 + MIN(E141*utxoGrowth,D142)</f>
        <v>235.9094371875</v>
      </c>
    </row>
    <row r="143" spans="1:5" x14ac:dyDescent="0.25">
      <c r="A143">
        <v>12</v>
      </c>
      <c r="B143" s="41">
        <f>disk4*ongoingResourcePercent4*POWER(1+memoryGrowth, A143)</f>
        <v>68.483201350063425</v>
      </c>
      <c r="C143" s="7">
        <f>B143/utxoExpand/utxoMemoryPercent</f>
        <v>456.5546756670895</v>
      </c>
      <c r="D143" s="7">
        <f>curThroughput*avgTrSize*secondsPerYear/1000/KBperGB</f>
        <v>62.914319999999996</v>
      </c>
      <c r="E143" s="7">
        <f xml:space="preserve"> E142 + MIN(E142*utxoGrowth,D143)</f>
        <v>298.82375718750001</v>
      </c>
    </row>
    <row r="144" spans="1:5" x14ac:dyDescent="0.25">
      <c r="A144">
        <v>13</v>
      </c>
      <c r="B144" s="41">
        <f>disk4*ongoingResourcePercent4*POWER(1+memoryGrowth, A144)</f>
        <v>78.755681552572952</v>
      </c>
      <c r="C144" s="7">
        <f>B144/utxoExpand/utxoMemoryPercent</f>
        <v>525.03787701715305</v>
      </c>
      <c r="D144" s="7">
        <f>curThroughput*avgTrSize*secondsPerYear/1000/KBperGB</f>
        <v>62.914319999999996</v>
      </c>
      <c r="E144" s="7">
        <f xml:space="preserve"> E143 + MIN(E143*utxoGrowth,D144)</f>
        <v>361.73807718749998</v>
      </c>
    </row>
    <row r="145" spans="1:5" x14ac:dyDescent="0.25">
      <c r="A145">
        <v>14</v>
      </c>
      <c r="B145" s="41">
        <f>disk4*ongoingResourcePercent4*POWER(1+memoryGrowth, A145)</f>
        <v>90.569033785458885</v>
      </c>
      <c r="C145" s="7">
        <f>B145/utxoExpand/utxoMemoryPercent</f>
        <v>603.79355856972597</v>
      </c>
      <c r="D145" s="7">
        <f>curThroughput*avgTrSize*secondsPerYear/1000/KBperGB</f>
        <v>62.914319999999996</v>
      </c>
      <c r="E145" s="7">
        <f xml:space="preserve"> E144 + MIN(E144*utxoGrowth,D145)</f>
        <v>424.65239718749996</v>
      </c>
    </row>
    <row r="146" spans="1:5" x14ac:dyDescent="0.25">
      <c r="A146">
        <v>15</v>
      </c>
      <c r="B146" s="41">
        <f>disk4*ongoingResourcePercent4*POWER(1+memoryGrowth, A146)</f>
        <v>104.15438885327769</v>
      </c>
      <c r="C146" s="7">
        <f>B146/utxoExpand/utxoMemoryPercent</f>
        <v>694.36259235518469</v>
      </c>
      <c r="D146" s="7">
        <f>curThroughput*avgTrSize*secondsPerYear/1000/KBperGB</f>
        <v>62.914319999999996</v>
      </c>
      <c r="E146" s="7">
        <f xml:space="preserve"> E145 + MIN(E145*utxoGrowth,D146)</f>
        <v>487.56671718749993</v>
      </c>
    </row>
    <row r="149" spans="1:5" x14ac:dyDescent="0.25">
      <c r="A149" s="11" t="s">
        <v>59</v>
      </c>
      <c r="B149" s="38"/>
      <c r="C149" s="39"/>
    </row>
    <row r="151" spans="1:5" x14ac:dyDescent="0.25">
      <c r="A151" s="2" t="s">
        <v>10</v>
      </c>
      <c r="B151" s="2" t="s">
        <v>8</v>
      </c>
    </row>
    <row r="152" spans="1:5" x14ac:dyDescent="0.25">
      <c r="E152" s="1" t="s">
        <v>56</v>
      </c>
    </row>
    <row r="153" spans="1:5" x14ac:dyDescent="0.25">
      <c r="B153" s="1" t="s">
        <v>54</v>
      </c>
      <c r="C153" s="1" t="s">
        <v>54</v>
      </c>
      <c r="D153" s="1" t="s">
        <v>56</v>
      </c>
      <c r="E153" s="1" t="s">
        <v>41</v>
      </c>
    </row>
    <row r="154" spans="1:5" x14ac:dyDescent="0.25">
      <c r="A154" s="4" t="s">
        <v>11</v>
      </c>
      <c r="B154" s="1" t="s">
        <v>53</v>
      </c>
      <c r="C154" s="1" t="s">
        <v>57</v>
      </c>
      <c r="D154" s="1" t="s">
        <v>43</v>
      </c>
      <c r="E154" s="1" t="s">
        <v>53</v>
      </c>
    </row>
    <row r="155" spans="1:5" x14ac:dyDescent="0.25">
      <c r="A155">
        <v>0</v>
      </c>
      <c r="B155" s="41">
        <f>memory4*ongoingResourcePercent5*POWER(1+memoryGrowth, A155)</f>
        <v>0.2</v>
      </c>
      <c r="C155" s="7">
        <f>B155/utxoExpand/utxoMemoryPercent</f>
        <v>1.3333333333333335</v>
      </c>
      <c r="D155" s="7">
        <f>E131</f>
        <v>3</v>
      </c>
      <c r="E155" s="41">
        <f>D155*utxoExpand*utxoMemoryPercent</f>
        <v>0.45</v>
      </c>
    </row>
    <row r="156" spans="1:5" x14ac:dyDescent="0.25">
      <c r="A156">
        <v>1</v>
      </c>
      <c r="B156" s="41">
        <f>memory4*ongoingResourcePercent5*POWER(1+memoryGrowth, A156)</f>
        <v>0.22999999999999998</v>
      </c>
      <c r="C156" s="7">
        <f>B156/utxoExpand/utxoMemoryPercent</f>
        <v>1.5333333333333334</v>
      </c>
      <c r="D156" s="7">
        <f t="shared" ref="D156:D170" si="22">E132</f>
        <v>4.5</v>
      </c>
      <c r="E156" s="41">
        <f>D156*utxoExpand*utxoMemoryPercent</f>
        <v>0.67499999999999993</v>
      </c>
    </row>
    <row r="157" spans="1:5" x14ac:dyDescent="0.25">
      <c r="A157">
        <v>2</v>
      </c>
      <c r="B157" s="41">
        <f>memory4*ongoingResourcePercent5*POWER(1+memoryGrowth, A157)</f>
        <v>0.26449999999999996</v>
      </c>
      <c r="C157" s="7">
        <f>B157/utxoExpand/utxoMemoryPercent</f>
        <v>1.7633333333333334</v>
      </c>
      <c r="D157" s="7">
        <f t="shared" si="22"/>
        <v>6.75</v>
      </c>
      <c r="E157" s="41">
        <f>D157*utxoExpand*utxoMemoryPercent</f>
        <v>1.0125</v>
      </c>
    </row>
    <row r="158" spans="1:5" x14ac:dyDescent="0.25">
      <c r="A158">
        <v>3</v>
      </c>
      <c r="B158" s="41">
        <f>memory4*ongoingResourcePercent5*POWER(1+memoryGrowth, A158)</f>
        <v>0.30417499999999992</v>
      </c>
      <c r="C158" s="7">
        <f>B158/utxoExpand/utxoMemoryPercent</f>
        <v>2.0278333333333332</v>
      </c>
      <c r="D158" s="7">
        <f t="shared" si="22"/>
        <v>10.125</v>
      </c>
      <c r="E158" s="41">
        <f>D158*utxoExpand*utxoMemoryPercent</f>
        <v>1.5187499999999996</v>
      </c>
    </row>
    <row r="159" spans="1:5" x14ac:dyDescent="0.25">
      <c r="A159">
        <v>4</v>
      </c>
      <c r="B159" s="41">
        <f>memory4*ongoingResourcePercent5*POWER(1+memoryGrowth, A159)</f>
        <v>0.3498012499999999</v>
      </c>
      <c r="C159" s="7">
        <f>B159/utxoExpand/utxoMemoryPercent</f>
        <v>2.332008333333333</v>
      </c>
      <c r="D159" s="7">
        <f t="shared" si="22"/>
        <v>15.1875</v>
      </c>
      <c r="E159" s="41">
        <f>D159*utxoExpand*utxoMemoryPercent</f>
        <v>2.2781249999999997</v>
      </c>
    </row>
    <row r="160" spans="1:5" x14ac:dyDescent="0.25">
      <c r="A160">
        <v>5</v>
      </c>
      <c r="B160" s="41">
        <f>memory4*ongoingResourcePercent5*POWER(1+memoryGrowth, A160)</f>
        <v>0.40227143749999988</v>
      </c>
      <c r="C160" s="7">
        <f>B160/utxoExpand/utxoMemoryPercent</f>
        <v>2.6818095833333331</v>
      </c>
      <c r="D160" s="7">
        <f t="shared" si="22"/>
        <v>22.78125</v>
      </c>
      <c r="E160" s="41">
        <f>D160*utxoExpand*utxoMemoryPercent</f>
        <v>3.4171874999999998</v>
      </c>
    </row>
    <row r="161" spans="1:10" x14ac:dyDescent="0.25">
      <c r="A161">
        <v>6</v>
      </c>
      <c r="B161" s="41">
        <f>memory4*ongoingResourcePercent5*POWER(1+memoryGrowth, A161)</f>
        <v>0.46261215312499981</v>
      </c>
      <c r="C161" s="7">
        <f>B161/utxoExpand/utxoMemoryPercent</f>
        <v>3.0840810208333327</v>
      </c>
      <c r="D161" s="7">
        <f t="shared" si="22"/>
        <v>34.171875</v>
      </c>
      <c r="E161" s="41">
        <f>D161*utxoExpand*utxoMemoryPercent</f>
        <v>5.1257812499999993</v>
      </c>
    </row>
    <row r="162" spans="1:10" x14ac:dyDescent="0.25">
      <c r="A162">
        <v>7</v>
      </c>
      <c r="B162" s="41">
        <f>memory4*ongoingResourcePercent5*POWER(1+memoryGrowth, A162)</f>
        <v>0.53200397609374972</v>
      </c>
      <c r="C162" s="7">
        <f>B162/utxoExpand/utxoMemoryPercent</f>
        <v>3.5466931739583316</v>
      </c>
      <c r="D162" s="7">
        <f t="shared" si="22"/>
        <v>51.2578125</v>
      </c>
      <c r="E162" s="41">
        <f>D162*utxoExpand*utxoMemoryPercent</f>
        <v>7.6886718749999989</v>
      </c>
    </row>
    <row r="163" spans="1:10" x14ac:dyDescent="0.25">
      <c r="A163">
        <v>8</v>
      </c>
      <c r="B163" s="41">
        <f>memory4*ongoingResourcePercent5*POWER(1+memoryGrowth, A163)</f>
        <v>0.61180457250781206</v>
      </c>
      <c r="C163" s="7">
        <f>B163/utxoExpand/utxoMemoryPercent</f>
        <v>4.078697150052081</v>
      </c>
      <c r="D163" s="7">
        <f t="shared" si="22"/>
        <v>76.88671875</v>
      </c>
      <c r="E163" s="41">
        <f>D163*utxoExpand*utxoMemoryPercent</f>
        <v>11.533007812499999</v>
      </c>
    </row>
    <row r="164" spans="1:10" x14ac:dyDescent="0.25">
      <c r="A164">
        <v>9</v>
      </c>
      <c r="B164" s="41">
        <f>memory4*ongoingResourcePercent5*POWER(1+memoryGrowth, A164)</f>
        <v>0.70357525838398383</v>
      </c>
      <c r="C164" s="7">
        <f>B164/utxoExpand/utxoMemoryPercent</f>
        <v>4.6905017225598931</v>
      </c>
      <c r="D164" s="7">
        <f t="shared" si="22"/>
        <v>115.330078125</v>
      </c>
      <c r="E164" s="41">
        <f>D164*utxoExpand*utxoMemoryPercent</f>
        <v>17.299511718750001</v>
      </c>
    </row>
    <row r="165" spans="1:10" x14ac:dyDescent="0.25">
      <c r="A165">
        <v>10</v>
      </c>
      <c r="B165" s="41">
        <f>memory4*ongoingResourcePercent5*POWER(1+memoryGrowth, A165)</f>
        <v>0.8091115471415814</v>
      </c>
      <c r="C165" s="7">
        <f>B165/utxoExpand/utxoMemoryPercent</f>
        <v>5.3940769809438764</v>
      </c>
      <c r="D165" s="7">
        <f t="shared" si="22"/>
        <v>172.9951171875</v>
      </c>
      <c r="E165" s="41">
        <f>D165*utxoExpand*utxoMemoryPercent</f>
        <v>25.949267578124996</v>
      </c>
    </row>
    <row r="166" spans="1:10" x14ac:dyDescent="0.25">
      <c r="A166">
        <v>11</v>
      </c>
      <c r="B166" s="41">
        <f>memory4*ongoingResourcePercent5*POWER(1+memoryGrowth, A166)</f>
        <v>0.93047827921281856</v>
      </c>
      <c r="C166" s="7">
        <f>B166/utxoExpand/utxoMemoryPercent</f>
        <v>6.2031885280854571</v>
      </c>
      <c r="D166" s="7">
        <f t="shared" si="22"/>
        <v>235.9094371875</v>
      </c>
      <c r="E166" s="41">
        <f>D166*utxoExpand*utxoMemoryPercent</f>
        <v>35.386415578124996</v>
      </c>
    </row>
    <row r="167" spans="1:10" x14ac:dyDescent="0.25">
      <c r="A167">
        <v>12</v>
      </c>
      <c r="B167" s="41">
        <f>memory4*ongoingResourcePercent5*POWER(1+memoryGrowth, A167)</f>
        <v>1.070050021094741</v>
      </c>
      <c r="C167" s="7">
        <f>B167/utxoExpand/utxoMemoryPercent</f>
        <v>7.1336668072982734</v>
      </c>
      <c r="D167" s="7">
        <f t="shared" si="22"/>
        <v>298.82375718750001</v>
      </c>
      <c r="E167" s="41">
        <f>D167*utxoExpand*utxoMemoryPercent</f>
        <v>44.823563578124997</v>
      </c>
    </row>
    <row r="168" spans="1:10" x14ac:dyDescent="0.25">
      <c r="A168">
        <v>13</v>
      </c>
      <c r="B168" s="41">
        <f>memory4*ongoingResourcePercent5*POWER(1+memoryGrowth, A168)</f>
        <v>1.2305575242589524</v>
      </c>
      <c r="C168" s="7">
        <f>B168/utxoExpand/utxoMemoryPercent</f>
        <v>8.2037168283930164</v>
      </c>
      <c r="D168" s="7">
        <f t="shared" si="22"/>
        <v>361.73807718749998</v>
      </c>
      <c r="E168" s="41">
        <f>D168*utxoExpand*utxoMemoryPercent</f>
        <v>54.26071157812499</v>
      </c>
    </row>
    <row r="169" spans="1:10" x14ac:dyDescent="0.25">
      <c r="A169">
        <v>14</v>
      </c>
      <c r="B169" s="41">
        <f>memory4*ongoingResourcePercent5*POWER(1+memoryGrowth, A169)</f>
        <v>1.4151411528977951</v>
      </c>
      <c r="C169" s="7">
        <f>B169/utxoExpand/utxoMemoryPercent</f>
        <v>9.4342743526519683</v>
      </c>
      <c r="D169" s="7">
        <f t="shared" si="22"/>
        <v>424.65239718749996</v>
      </c>
      <c r="E169" s="41">
        <f>D169*utxoExpand*utxoMemoryPercent</f>
        <v>63.697859578124991</v>
      </c>
    </row>
    <row r="170" spans="1:10" x14ac:dyDescent="0.25">
      <c r="A170">
        <v>15</v>
      </c>
      <c r="B170" s="41">
        <f>memory4*ongoingResourcePercent5*POWER(1+memoryGrowth, A170)</f>
        <v>1.627412325832464</v>
      </c>
      <c r="C170" s="7">
        <f>B170/utxoExpand/utxoMemoryPercent</f>
        <v>10.849415505549761</v>
      </c>
      <c r="D170" s="7">
        <f t="shared" si="22"/>
        <v>487.56671718749993</v>
      </c>
      <c r="E170" s="41">
        <f>D170*utxoExpand*utxoMemoryPercent</f>
        <v>73.135007578124984</v>
      </c>
    </row>
    <row r="174" spans="1:10" x14ac:dyDescent="0.25">
      <c r="A174" s="11" t="s">
        <v>60</v>
      </c>
    </row>
    <row r="175" spans="1:10" x14ac:dyDescent="0.25">
      <c r="D175" s="40" t="s">
        <v>2</v>
      </c>
      <c r="E175" s="40" t="s">
        <v>3</v>
      </c>
    </row>
    <row r="176" spans="1:10" ht="15.75" x14ac:dyDescent="0.25">
      <c r="A176" s="2" t="s">
        <v>10</v>
      </c>
      <c r="B176" s="2" t="s">
        <v>7</v>
      </c>
      <c r="C176" s="16">
        <v>50</v>
      </c>
      <c r="D176" s="17">
        <v>1000</v>
      </c>
      <c r="E176" s="17">
        <v>8</v>
      </c>
      <c r="F176" s="18">
        <v>5000</v>
      </c>
      <c r="G176" s="19" t="s">
        <v>6</v>
      </c>
      <c r="H176" s="20">
        <v>7</v>
      </c>
      <c r="I176" s="21">
        <v>0.1</v>
      </c>
      <c r="J176" s="21">
        <v>0.1</v>
      </c>
    </row>
    <row r="177" spans="1:6" ht="15.75" customHeight="1" x14ac:dyDescent="0.25"/>
    <row r="178" spans="1:6" x14ac:dyDescent="0.25">
      <c r="B178" s="1" t="s">
        <v>55</v>
      </c>
      <c r="C178" s="1" t="s">
        <v>39</v>
      </c>
      <c r="D178" s="1" t="s">
        <v>48</v>
      </c>
      <c r="E178" s="1" t="s">
        <v>39</v>
      </c>
    </row>
    <row r="179" spans="1:6" x14ac:dyDescent="0.25">
      <c r="A179" s="4" t="s">
        <v>11</v>
      </c>
      <c r="B179" s="1" t="s">
        <v>43</v>
      </c>
      <c r="C179" s="1" t="s">
        <v>47</v>
      </c>
      <c r="D179" s="1" t="s">
        <v>12</v>
      </c>
      <c r="E179" s="1" t="s">
        <v>40</v>
      </c>
      <c r="F179" s="1" t="s">
        <v>25</v>
      </c>
    </row>
    <row r="180" spans="1:6" x14ac:dyDescent="0.25">
      <c r="A180">
        <v>0</v>
      </c>
      <c r="B180" s="7">
        <f>utxoSize*POWER(1+utxoGrowth,A180)</f>
        <v>3</v>
      </c>
      <c r="C180" s="36">
        <f t="shared" ref="C180:C196" si="23">disk5*POWER(1+diskGrowth,A180)*ongoingResourcePercent5-B180</f>
        <v>97</v>
      </c>
      <c r="D180" s="8">
        <f>C181-C180</f>
        <v>23.5</v>
      </c>
      <c r="E180" s="13">
        <f t="shared" ref="E180:E195" si="24">D180*1000*1000*secondsPerBlock/secondsPerYear</f>
        <v>447.10806697108069</v>
      </c>
      <c r="F180" s="6">
        <f t="shared" ref="F180:F195" si="25">E180*1000/secondsPerBlock/avgTrSize</f>
        <v>1.568800234986248</v>
      </c>
    </row>
    <row r="181" spans="1:6" x14ac:dyDescent="0.25">
      <c r="A181">
        <v>1</v>
      </c>
      <c r="B181" s="7">
        <f t="shared" ref="B181" si="26">utxoSize*POWER(1+utxoGrowth,A181)</f>
        <v>4.5</v>
      </c>
      <c r="C181" s="36">
        <f t="shared" si="23"/>
        <v>120.5</v>
      </c>
      <c r="D181" s="8">
        <f t="shared" ref="D181:D195" si="27">C182-C181</f>
        <v>29</v>
      </c>
      <c r="E181" s="13">
        <f t="shared" si="24"/>
        <v>551.7503805175038</v>
      </c>
      <c r="F181" s="6">
        <f t="shared" si="25"/>
        <v>1.935966247429838</v>
      </c>
    </row>
    <row r="182" spans="1:6" x14ac:dyDescent="0.25">
      <c r="A182">
        <v>2</v>
      </c>
      <c r="B182" s="7">
        <f>MIN(utxoSize*POWER(1+utxoGrowth,A182),D180)</f>
        <v>6.75</v>
      </c>
      <c r="C182" s="36">
        <f t="shared" si="23"/>
        <v>149.5</v>
      </c>
      <c r="D182" s="8">
        <f t="shared" si="27"/>
        <v>35.6875</v>
      </c>
      <c r="E182" s="13">
        <f t="shared" si="24"/>
        <v>678.98592085235919</v>
      </c>
      <c r="F182" s="6">
        <f t="shared" si="25"/>
        <v>2.3824067398328395</v>
      </c>
    </row>
    <row r="183" spans="1:6" x14ac:dyDescent="0.25">
      <c r="A183">
        <v>3</v>
      </c>
      <c r="B183" s="7">
        <f>MIN(utxoSize*POWER(1+utxoGrowth,A183),D181)</f>
        <v>10.125</v>
      </c>
      <c r="C183" s="36">
        <f>disk5*POWER(1+diskGrowth,A183)*ongoingResourcePercent5-B183</f>
        <v>185.1875</v>
      </c>
      <c r="D183" s="8">
        <f t="shared" si="27"/>
        <v>43.765625</v>
      </c>
      <c r="E183" s="13">
        <f t="shared" si="24"/>
        <v>832.67931887366819</v>
      </c>
      <c r="F183" s="6">
        <f t="shared" si="25"/>
        <v>2.9216818206093622</v>
      </c>
    </row>
    <row r="184" spans="1:6" x14ac:dyDescent="0.25">
      <c r="A184">
        <v>4</v>
      </c>
      <c r="B184" s="7">
        <f>MIN(utxoSize*POWER(1+utxoGrowth,A184),D182)</f>
        <v>15.1875</v>
      </c>
      <c r="C184" s="36">
        <f t="shared" si="23"/>
        <v>228.953125</v>
      </c>
      <c r="D184" s="8">
        <f t="shared" si="27"/>
        <v>53.44140625</v>
      </c>
      <c r="E184" s="13">
        <f t="shared" si="24"/>
        <v>1016.7695253044139</v>
      </c>
      <c r="F184" s="6">
        <f t="shared" si="25"/>
        <v>3.5676123694891717</v>
      </c>
    </row>
    <row r="185" spans="1:6" x14ac:dyDescent="0.25">
      <c r="A185">
        <v>5</v>
      </c>
      <c r="B185" s="7">
        <f>MIN(utxoSize*POWER(1+utxoGrowth,A185),D183)</f>
        <v>22.78125</v>
      </c>
      <c r="C185" s="36">
        <f t="shared" si="23"/>
        <v>282.39453125</v>
      </c>
      <c r="D185" s="8">
        <f t="shared" si="27"/>
        <v>64.9033203125</v>
      </c>
      <c r="E185" s="13">
        <f t="shared" si="24"/>
        <v>1234.8424716990107</v>
      </c>
      <c r="F185" s="6">
        <f t="shared" si="25"/>
        <v>4.3327806024526696</v>
      </c>
    </row>
    <row r="186" spans="1:6" x14ac:dyDescent="0.25">
      <c r="A186">
        <v>6</v>
      </c>
      <c r="B186" s="7">
        <f>MIN(utxoSize*POWER(1+utxoGrowth,A186),D184)</f>
        <v>34.171875</v>
      </c>
      <c r="C186" s="36">
        <f t="shared" si="23"/>
        <v>347.2978515625</v>
      </c>
      <c r="D186" s="8">
        <f t="shared" si="27"/>
        <v>78.281494140625</v>
      </c>
      <c r="E186" s="13">
        <f t="shared" si="24"/>
        <v>1489.3739372265031</v>
      </c>
      <c r="F186" s="6">
        <f t="shared" si="25"/>
        <v>5.2258734639526425</v>
      </c>
    </row>
    <row r="187" spans="1:6" x14ac:dyDescent="0.25">
      <c r="A187">
        <v>7</v>
      </c>
      <c r="B187" s="7">
        <f>MIN(utxoSize*POWER(1+utxoGrowth,A187),D185)</f>
        <v>51.2578125</v>
      </c>
      <c r="C187" s="36">
        <f t="shared" si="23"/>
        <v>425.579345703125</v>
      </c>
      <c r="D187" s="8">
        <f t="shared" si="27"/>
        <v>93.58038330078125</v>
      </c>
      <c r="E187" s="13">
        <f t="shared" si="24"/>
        <v>1780.4486929372383</v>
      </c>
      <c r="F187" s="6">
        <f t="shared" si="25"/>
        <v>6.247188396271012</v>
      </c>
    </row>
    <row r="188" spans="1:6" x14ac:dyDescent="0.25">
      <c r="A188">
        <v>8</v>
      </c>
      <c r="B188" s="7">
        <f>MIN(utxoSize*POWER(1+utxoGrowth,A188),D186)</f>
        <v>76.88671875</v>
      </c>
      <c r="C188" s="36">
        <f t="shared" si="23"/>
        <v>519.15972900390625</v>
      </c>
      <c r="D188" s="8">
        <f t="shared" si="27"/>
        <v>132.31794738769531</v>
      </c>
      <c r="E188" s="13">
        <f t="shared" si="24"/>
        <v>2517.4647524295151</v>
      </c>
      <c r="F188" s="6">
        <f t="shared" si="25"/>
        <v>8.8332096576474211</v>
      </c>
    </row>
    <row r="189" spans="1:6" x14ac:dyDescent="0.25">
      <c r="A189">
        <v>9</v>
      </c>
      <c r="B189" s="7">
        <f>MIN(utxoSize*POWER(1+utxoGrowth,A189),D187)</f>
        <v>93.58038330078125</v>
      </c>
      <c r="C189" s="36">
        <f t="shared" si="23"/>
        <v>651.47767639160156</v>
      </c>
      <c r="D189" s="8">
        <f t="shared" si="27"/>
        <v>147.52695083618164</v>
      </c>
      <c r="E189" s="13">
        <f t="shared" si="24"/>
        <v>2806.8293538086309</v>
      </c>
      <c r="F189" s="6">
        <f t="shared" si="25"/>
        <v>9.8485240484513366</v>
      </c>
    </row>
    <row r="190" spans="1:6" x14ac:dyDescent="0.25">
      <c r="A190">
        <v>10</v>
      </c>
      <c r="B190" s="7">
        <f>MIN(utxoSize*POWER(1+utxoGrowth,A190),D188)</f>
        <v>132.31794738769531</v>
      </c>
      <c r="C190" s="36">
        <f t="shared" si="23"/>
        <v>799.0046272277832</v>
      </c>
      <c r="D190" s="8">
        <f t="shared" si="27"/>
        <v>217.6216402053833</v>
      </c>
      <c r="E190" s="13">
        <f t="shared" si="24"/>
        <v>4140.4421652470182</v>
      </c>
      <c r="F190" s="6">
        <f t="shared" si="25"/>
        <v>14.527867246480767</v>
      </c>
    </row>
    <row r="191" spans="1:6" x14ac:dyDescent="0.25">
      <c r="A191">
        <v>11</v>
      </c>
      <c r="B191" s="7">
        <f>MIN(utxoSize*POWER(1+utxoGrowth,A191),D189)</f>
        <v>147.52695083618164</v>
      </c>
      <c r="C191" s="36">
        <f t="shared" si="23"/>
        <v>1016.6262674331665</v>
      </c>
      <c r="D191" s="8">
        <f t="shared" si="27"/>
        <v>220.94361519813538</v>
      </c>
      <c r="E191" s="13">
        <f t="shared" si="24"/>
        <v>4203.6456468442802</v>
      </c>
      <c r="F191" s="6">
        <f t="shared" si="25"/>
        <v>14.749633848576421</v>
      </c>
    </row>
    <row r="192" spans="1:6" x14ac:dyDescent="0.25">
      <c r="A192">
        <v>12</v>
      </c>
      <c r="B192" s="7">
        <f>MIN(utxoSize*POWER(1+utxoGrowth,A192),D190)</f>
        <v>217.6216402053833</v>
      </c>
      <c r="C192" s="36">
        <f t="shared" si="23"/>
        <v>1237.5698826313019</v>
      </c>
      <c r="D192" s="8">
        <f t="shared" si="27"/>
        <v>360.47590571641922</v>
      </c>
      <c r="E192" s="13">
        <f t="shared" si="24"/>
        <v>6858.3695912560734</v>
      </c>
      <c r="F192" s="6">
        <f t="shared" si="25"/>
        <v>24.064454706161662</v>
      </c>
    </row>
    <row r="193" spans="1:10" x14ac:dyDescent="0.25">
      <c r="A193">
        <v>13</v>
      </c>
      <c r="B193" s="7">
        <f>MIN(utxoSize*POWER(1+utxoGrowth,A193),D191)</f>
        <v>220.94361519813538</v>
      </c>
      <c r="C193" s="36">
        <f t="shared" si="23"/>
        <v>1598.0457883477211</v>
      </c>
      <c r="D193" s="8">
        <f t="shared" si="27"/>
        <v>315.21506036818027</v>
      </c>
      <c r="E193" s="13">
        <f t="shared" si="24"/>
        <v>5997.2423966548758</v>
      </c>
      <c r="F193" s="6">
        <f t="shared" si="25"/>
        <v>21.042955777736406</v>
      </c>
    </row>
    <row r="194" spans="1:10" x14ac:dyDescent="0.25">
      <c r="A194">
        <v>14</v>
      </c>
      <c r="B194" s="7">
        <f>MIN(utxoSize*POWER(1+utxoGrowth,A194),D192)</f>
        <v>360.47590571641922</v>
      </c>
      <c r="C194" s="36">
        <f t="shared" si="23"/>
        <v>1913.2608487159014</v>
      </c>
      <c r="D194" s="8">
        <f t="shared" si="27"/>
        <v>613.69503395631909</v>
      </c>
      <c r="E194" s="13">
        <f t="shared" si="24"/>
        <v>11676.085120934533</v>
      </c>
      <c r="F194" s="6">
        <f t="shared" si="25"/>
        <v>40.968719722577312</v>
      </c>
    </row>
    <row r="195" spans="1:10" x14ac:dyDescent="0.25">
      <c r="A195">
        <v>15</v>
      </c>
      <c r="B195" s="7">
        <f>MIN(utxoSize*POWER(1+utxoGrowth,A195),D193)</f>
        <v>315.21506036818027</v>
      </c>
      <c r="C195" s="36">
        <f t="shared" si="23"/>
        <v>2526.9558826722205</v>
      </c>
      <c r="D195" s="8">
        <f t="shared" si="27"/>
        <v>412.06276217196137</v>
      </c>
      <c r="E195" s="13">
        <f t="shared" si="24"/>
        <v>7839.8546836370124</v>
      </c>
      <c r="F195" s="6">
        <f t="shared" si="25"/>
        <v>27.508262047849168</v>
      </c>
    </row>
    <row r="196" spans="1:10" x14ac:dyDescent="0.25">
      <c r="A196" s="37">
        <v>16</v>
      </c>
      <c r="B196" s="38">
        <f>MIN(utxoSize*POWER(1+utxoGrowth,A196),D194)</f>
        <v>613.69503395631909</v>
      </c>
      <c r="C196" s="39">
        <f t="shared" si="23"/>
        <v>2939.0186448441818</v>
      </c>
    </row>
    <row r="197" spans="1:10" x14ac:dyDescent="0.25">
      <c r="A197" s="37"/>
      <c r="B197" s="38"/>
      <c r="C197" s="39"/>
    </row>
    <row r="198" spans="1:10" x14ac:dyDescent="0.25">
      <c r="A198" s="11" t="s">
        <v>65</v>
      </c>
    </row>
    <row r="199" spans="1:10" x14ac:dyDescent="0.25">
      <c r="D199" s="40" t="s">
        <v>2</v>
      </c>
      <c r="E199" s="40" t="s">
        <v>3</v>
      </c>
    </row>
    <row r="200" spans="1:10" ht="15.75" x14ac:dyDescent="0.25">
      <c r="A200" s="2" t="s">
        <v>10</v>
      </c>
      <c r="B200" s="2" t="s">
        <v>7</v>
      </c>
      <c r="C200" s="16">
        <v>50</v>
      </c>
      <c r="D200" s="17">
        <v>1000</v>
      </c>
      <c r="E200" s="17">
        <v>8</v>
      </c>
      <c r="F200" s="18">
        <v>5000</v>
      </c>
      <c r="G200" s="19" t="s">
        <v>6</v>
      </c>
      <c r="H200" s="20">
        <v>7</v>
      </c>
      <c r="I200" s="21">
        <v>0.1</v>
      </c>
      <c r="J200" s="21">
        <v>0.1</v>
      </c>
    </row>
  </sheetData>
  <conditionalFormatting sqref="I88:I103">
    <cfRule type="colorScale" priority="4">
      <colorScale>
        <cfvo type="num" val="0"/>
        <cfvo type="num" val="7"/>
        <cfvo type="num" val="14"/>
        <color rgb="FFF8696B"/>
        <color rgb="FFFCFCFF"/>
        <color rgb="FF63BE7B"/>
      </colorScale>
    </cfRule>
  </conditionalFormatting>
  <conditionalFormatting sqref="I68:I83">
    <cfRule type="colorScale" priority="3">
      <colorScale>
        <cfvo type="num" val="0"/>
        <cfvo type="num" val="7"/>
        <cfvo type="num" val="14"/>
        <color rgb="FFF8696B"/>
        <color rgb="FFFCFCFF"/>
        <color rgb="FF63BE7B"/>
      </colorScale>
    </cfRule>
  </conditionalFormatting>
  <conditionalFormatting sqref="C180:C197 C149">
    <cfRule type="colorScale" priority="2">
      <colorScale>
        <cfvo type="min"/>
        <cfvo type="num" val="0"/>
        <color rgb="FFF8696B"/>
        <color rgb="FFFCFCFF"/>
      </colorScale>
    </cfRule>
  </conditionalFormatting>
  <pageMargins left="0.7" right="0.7" top="0.75" bottom="0.75" header="0.3" footer="0.3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Sheet1</vt:lpstr>
      <vt:lpstr>Sheet2</vt:lpstr>
      <vt:lpstr>Sheet3</vt:lpstr>
      <vt:lpstr>assumevalidBlockTime</vt:lpstr>
      <vt:lpstr>assumevalidSpeedup</vt:lpstr>
      <vt:lpstr>avgTrSize</vt:lpstr>
      <vt:lpstr>bandwidth1</vt:lpstr>
      <vt:lpstr>bandwidth2</vt:lpstr>
      <vt:lpstr>bandwidth3</vt:lpstr>
      <vt:lpstr>bandwidth5</vt:lpstr>
      <vt:lpstr>bandwidthGrowth</vt:lpstr>
      <vt:lpstr>cpuGrowth</vt:lpstr>
      <vt:lpstr>curThroughput</vt:lpstr>
      <vt:lpstr>disk1</vt:lpstr>
      <vt:lpstr>disk2</vt:lpstr>
      <vt:lpstr>disk3</vt:lpstr>
      <vt:lpstr>disk4</vt:lpstr>
      <vt:lpstr>disk5</vt:lpstr>
      <vt:lpstr>diskGrowth</vt:lpstr>
      <vt:lpstr>KBperGB</vt:lpstr>
      <vt:lpstr>mbToGB</vt:lpstr>
      <vt:lpstr>memory1</vt:lpstr>
      <vt:lpstr>memory2</vt:lpstr>
      <vt:lpstr>memory3</vt:lpstr>
      <vt:lpstr>memory4</vt:lpstr>
      <vt:lpstr>memory5</vt:lpstr>
      <vt:lpstr>memoryGrowth</vt:lpstr>
      <vt:lpstr>ongoingResourcePercent4</vt:lpstr>
      <vt:lpstr>ongoingResourcePercent5</vt:lpstr>
      <vt:lpstr>resourcePercent</vt:lpstr>
      <vt:lpstr>resourcePercent2</vt:lpstr>
      <vt:lpstr>resourcePercent3</vt:lpstr>
      <vt:lpstr>secondsPerBlock</vt:lpstr>
      <vt:lpstr>secondsPerYear</vt:lpstr>
      <vt:lpstr>syncTime1</vt:lpstr>
      <vt:lpstr>syncTime2</vt:lpstr>
      <vt:lpstr>syncTime3</vt:lpstr>
      <vt:lpstr>throughput1</vt:lpstr>
      <vt:lpstr>throughput2</vt:lpstr>
      <vt:lpstr>throughput3</vt:lpstr>
      <vt:lpstr>utxoExpand</vt:lpstr>
      <vt:lpstr>utxoGrowth</vt:lpstr>
      <vt:lpstr>utxoMemoryPercent</vt:lpstr>
      <vt:lpstr>utxoSize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fresheneesz</dc:creator>
  <cp:lastModifiedBy>fresheneesz</cp:lastModifiedBy>
  <dcterms:created xsi:type="dcterms:W3CDTF">2019-05-31T04:37:43Z</dcterms:created>
  <dcterms:modified xsi:type="dcterms:W3CDTF">2019-06-01T19:50:59Z</dcterms:modified>
</cp:coreProperties>
</file>