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25350" activeTab="1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gMerkleProofSizeEndGame">'Future Bitcoin'!#REF!</definedName>
    <definedName name="avgTrSize">'Current Bitcoin'!$F$10</definedName>
    <definedName name="bandwidth1">'Current Bitcoin'!$B$44</definedName>
    <definedName name="bandwidth10">'Future Bitcoin'!$B$36</definedName>
    <definedName name="bandwidth13">'Future Bitcoin'!#REF!</definedName>
    <definedName name="bandwidth15">'Future Bitcoin'!$B$120</definedName>
    <definedName name="bandwidth2">'Current Bitcoin'!$B$68</definedName>
    <definedName name="bandwidth3">'Current Bitcoin'!$B$92</definedName>
    <definedName name="bandwidth4">'Future Bitcoin'!#REF!</definedName>
    <definedName name="bandwidth8">'Current Bitcoin'!$B$156</definedName>
    <definedName name="bandwidth8p9">'Current Bitcoin'!$B$180</definedName>
    <definedName name="bandwidth9">'Future Bitcoin'!$B$12</definedName>
    <definedName name="bandwidthGrowth">'Current Bitcoin'!$B$6</definedName>
    <definedName name="cpuGrowth">'Current Bitcoin'!$E$6</definedName>
    <definedName name="curChainSize">'Current Bitcoin'!$B$19</definedName>
    <definedName name="curMaxBlocksize">'Current Bitcoin'!$C$19</definedName>
    <definedName name="disk1">'Current Bitcoin'!$C$44</definedName>
    <definedName name="disk2">'Current Bitcoin'!$C$68</definedName>
    <definedName name="disk3">'Current Bitcoin'!$C$92</definedName>
    <definedName name="disk6">'Current Bitcoin'!$C$228</definedName>
    <definedName name="disk7">'Current Bitcoin'!$C$252</definedName>
    <definedName name="diskGrowth">'Current Bitcoin'!$C$6</definedName>
    <definedName name="endGameEmergencyUsage">'Future Bitcoin'!$G$125</definedName>
    <definedName name="endGameTransactionSize">'Future Bitcoin'!$A$125</definedName>
    <definedName name="endGameUsers">'Future Bitcoin'!$C$125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Bitcoin'!$H$15</definedName>
    <definedName name="KBperGB">'Current Bitcoin'!$E$10</definedName>
    <definedName name="mbToGB">'Current Bitcoin'!$D$10</definedName>
    <definedName name="memory1">'Current Bitcoin'!$D$44</definedName>
    <definedName name="memory15">'Future Bitcoin'!$D$120</definedName>
    <definedName name="memory2">'Current Bitcoin'!$D$68</definedName>
    <definedName name="memory3">'Current Bitcoin'!$D$92</definedName>
    <definedName name="memory6">'Current Bitcoin'!$D$228</definedName>
    <definedName name="memory6p5">'Current Bitcoin'!$D$277</definedName>
    <definedName name="memoryGrowth">'Current Bitcoin'!$D$6</definedName>
    <definedName name="minPublicNodeConnections">'Current Bitcoin'!$H$4</definedName>
    <definedName name="ongoingResourcePercent6">'Current Bitcoin'!$K$228</definedName>
    <definedName name="ongoingResourcePercent6p5">'Current Bitcoin'!$K$277</definedName>
    <definedName name="ongoingResourcePercent7">'Current Bitcoin'!$K$252</definedName>
    <definedName name="ongoingResourcePercentage15">'Future Bitcoin'!$L$120</definedName>
    <definedName name="ongoingResourcePercentage4">'Future Bitcoin'!#REF!</definedName>
    <definedName name="ongoingResourcePercentage5">'Current Bitcoin'!$K$204</definedName>
    <definedName name="ongoingResourcePercentage8">'Current Bitcoin'!$K$156</definedName>
    <definedName name="ongoingResourcePercentage8p9">'Current Bitcoin'!$K$180</definedName>
    <definedName name="outgoingConnections">'Current Bitcoin'!$G$156</definedName>
    <definedName name="outgoingConnections9">'Current Bitcoin'!$G$180</definedName>
    <definedName name="privateNodePercent">'Current Bitcoin'!$G$15</definedName>
    <definedName name="publicConnections8">'Current Bitcoin'!$H$156</definedName>
    <definedName name="publicConnections9">'Current Bitcoin'!$H$180</definedName>
    <definedName name="publicNodePercent">'Current Bitcoin'!$F$15</definedName>
    <definedName name="recentSyncTime11">'Future Bitcoin'!$I$60</definedName>
    <definedName name="recentSyncTime15">'Future Bitcoin'!$I$120</definedName>
    <definedName name="recentSyncTime8">'Future Bitcoin'!$I$12</definedName>
    <definedName name="resourcePercent">'Current Bitcoin'!$J$44</definedName>
    <definedName name="resourcePercent2">'Current Bitcoin'!$J$68</definedName>
    <definedName name="resourcePercent3">'Current Bitcoin'!$J$92</definedName>
    <definedName name="secondsPerBlock">'Current Bitcoin'!$C$10</definedName>
    <definedName name="secondsPerYear">'Current Bitcoin'!$B$10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Bitcoin'!$K$120</definedName>
    <definedName name="syncTime1">'Current Bitcoin'!$I$44</definedName>
    <definedName name="syncTime2">'Current Bitcoin'!$I$68</definedName>
    <definedName name="syncTime3">'Current Bitcoin'!$I$92</definedName>
    <definedName name="syncTime8">'Future Bitcoin'!$I$12</definedName>
    <definedName name="throughput1">'Current Bitcoin'!$E$44</definedName>
    <definedName name="throughput11">'Future Bitcoin'!$E$60</definedName>
    <definedName name="throughput12">'Future Bitcoin'!$E$84</definedName>
    <definedName name="throughput14">'Future Bitcoin'!#REF!</definedName>
    <definedName name="throughput2">'Current Bitcoin'!$E$68</definedName>
    <definedName name="throughput3">'Current Bitcoin'!$E$92</definedName>
    <definedName name="throughput4">'Future Bitcoin'!#REF!</definedName>
    <definedName name="throughput5">'Current Bitcoin'!$E$204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Bitcoin'!$D$125</definedName>
  </definedNames>
  <calcPr calcId="144525"/>
</workbook>
</file>

<file path=xl/calcChain.xml><?xml version="1.0" encoding="utf-8"?>
<calcChain xmlns="http://schemas.openxmlformats.org/spreadsheetml/2006/main">
  <c r="D209" i="2" l="1"/>
  <c r="D208" i="2"/>
  <c r="D207" i="2"/>
  <c r="D202" i="2"/>
  <c r="D201" i="2"/>
  <c r="D200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74" i="2"/>
  <c r="K120" i="2"/>
  <c r="B136" i="2" s="1"/>
  <c r="H120" i="2"/>
  <c r="C130" i="2"/>
  <c r="C131" i="2" s="1"/>
  <c r="K4" i="2"/>
  <c r="B143" i="2" l="1"/>
  <c r="B142" i="2"/>
  <c r="B141" i="2"/>
  <c r="B140" i="2"/>
  <c r="B135" i="2"/>
  <c r="B133" i="2"/>
  <c r="B134" i="2"/>
  <c r="B132" i="2"/>
  <c r="B139" i="2"/>
  <c r="B131" i="2"/>
  <c r="D131" i="2" s="1"/>
  <c r="E131" i="2" s="1"/>
  <c r="F131" i="2" s="1"/>
  <c r="B138" i="2"/>
  <c r="B130" i="2"/>
  <c r="D130" i="2" s="1"/>
  <c r="E130" i="2" s="1"/>
  <c r="B145" i="2"/>
  <c r="B137" i="2"/>
  <c r="B144" i="2"/>
  <c r="C132" i="2"/>
  <c r="C40" i="2"/>
  <c r="B40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64" i="2"/>
  <c r="C64" i="2" s="1"/>
  <c r="F130" i="2" l="1"/>
  <c r="E201" i="2" s="1"/>
  <c r="F201" i="2"/>
  <c r="D132" i="2"/>
  <c r="E132" i="2" s="1"/>
  <c r="F132" i="2" s="1"/>
  <c r="C133" i="2"/>
  <c r="D40" i="2"/>
  <c r="D304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B282" i="1"/>
  <c r="C24" i="1"/>
  <c r="D195" i="2"/>
  <c r="B152" i="2"/>
  <c r="C134" i="2" l="1"/>
  <c r="D133" i="2"/>
  <c r="E133" i="2" s="1"/>
  <c r="F133" i="2" s="1"/>
  <c r="C152" i="2"/>
  <c r="C175" i="2"/>
  <c r="C176" i="2"/>
  <c r="C177" i="2"/>
  <c r="C178" i="2"/>
  <c r="C179" i="2"/>
  <c r="C180" i="2"/>
  <c r="C181" i="2"/>
  <c r="C182" i="2"/>
  <c r="C183" i="2"/>
  <c r="C185" i="2"/>
  <c r="C186" i="2"/>
  <c r="C187" i="2"/>
  <c r="C188" i="2"/>
  <c r="C189" i="2"/>
  <c r="C174" i="2"/>
  <c r="F125" i="2"/>
  <c r="C135" i="2" l="1"/>
  <c r="D134" i="2"/>
  <c r="E134" i="2" s="1"/>
  <c r="F134" i="2" s="1"/>
  <c r="C184" i="2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B165" i="2"/>
  <c r="C165" i="2" s="1"/>
  <c r="B166" i="2"/>
  <c r="C166" i="2" s="1"/>
  <c r="B167" i="2"/>
  <c r="C167" i="2" s="1"/>
  <c r="A125" i="2"/>
  <c r="C136" i="2" l="1"/>
  <c r="D135" i="2"/>
  <c r="E135" i="2" s="1"/>
  <c r="F135" i="2" s="1"/>
  <c r="C164" i="2"/>
  <c r="C156" i="2"/>
  <c r="C137" i="2" l="1"/>
  <c r="D136" i="2"/>
  <c r="E136" i="2" s="1"/>
  <c r="F136" i="2" s="1"/>
  <c r="H180" i="1"/>
  <c r="B185" i="1" s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4" i="1"/>
  <c r="C16" i="2"/>
  <c r="D16" i="2" s="1"/>
  <c r="H4" i="2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60" i="1"/>
  <c r="B208" i="1"/>
  <c r="E307" i="1" s="1"/>
  <c r="H252" i="1"/>
  <c r="D308" i="1"/>
  <c r="D305" i="1"/>
  <c r="D301" i="1"/>
  <c r="D302" i="1"/>
  <c r="H4" i="1"/>
  <c r="H3" i="1" s="1"/>
  <c r="D306" i="1"/>
  <c r="D307" i="1"/>
  <c r="D303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32" i="1"/>
  <c r="H308" i="1" s="1"/>
  <c r="B256" i="1"/>
  <c r="B257" i="1" s="1"/>
  <c r="C257" i="1" s="1"/>
  <c r="C232" i="1"/>
  <c r="G305" i="1"/>
  <c r="E305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C138" i="2" l="1"/>
  <c r="D137" i="2"/>
  <c r="E137" i="2" s="1"/>
  <c r="F137" i="2" s="1"/>
  <c r="B184" i="1"/>
  <c r="B192" i="1"/>
  <c r="B188" i="1"/>
  <c r="B196" i="1"/>
  <c r="B199" i="1"/>
  <c r="B195" i="1"/>
  <c r="B191" i="1"/>
  <c r="B187" i="1"/>
  <c r="B186" i="1"/>
  <c r="B198" i="1"/>
  <c r="B194" i="1"/>
  <c r="B190" i="1"/>
  <c r="B197" i="1"/>
  <c r="B193" i="1"/>
  <c r="B189" i="1"/>
  <c r="H3" i="2"/>
  <c r="C256" i="1"/>
  <c r="D15" i="1"/>
  <c r="C285" i="1" l="1"/>
  <c r="C282" i="1"/>
  <c r="H304" i="1" s="1"/>
  <c r="C139" i="2"/>
  <c r="D138" i="2"/>
  <c r="E138" i="2" s="1"/>
  <c r="F138" i="2" s="1"/>
  <c r="D257" i="1"/>
  <c r="B258" i="1" s="1"/>
  <c r="C258" i="1" s="1"/>
  <c r="G303" i="1"/>
  <c r="C283" i="1"/>
  <c r="E282" i="1"/>
  <c r="C286" i="1"/>
  <c r="C290" i="1"/>
  <c r="C297" i="1"/>
  <c r="C289" i="1"/>
  <c r="C293" i="1"/>
  <c r="C292" i="1"/>
  <c r="C296" i="1"/>
  <c r="C288" i="1"/>
  <c r="C295" i="1"/>
  <c r="C287" i="1"/>
  <c r="C294" i="1"/>
  <c r="C284" i="1"/>
  <c r="C291" i="1"/>
  <c r="C15" i="1"/>
  <c r="E10" i="1"/>
  <c r="C10" i="1"/>
  <c r="D10" i="1"/>
  <c r="B10" i="1"/>
  <c r="D139" i="2" l="1"/>
  <c r="E139" i="2" s="1"/>
  <c r="F139" i="2" s="1"/>
  <c r="C140" i="2"/>
  <c r="D185" i="1"/>
  <c r="E185" i="1" s="1"/>
  <c r="D193" i="1"/>
  <c r="E193" i="1" s="1"/>
  <c r="D160" i="1"/>
  <c r="D168" i="1"/>
  <c r="D186" i="1"/>
  <c r="E186" i="1" s="1"/>
  <c r="D194" i="1"/>
  <c r="E194" i="1" s="1"/>
  <c r="D161" i="1"/>
  <c r="D169" i="1"/>
  <c r="E169" i="1" s="1"/>
  <c r="D187" i="1"/>
  <c r="D195" i="1"/>
  <c r="E195" i="1" s="1"/>
  <c r="D162" i="1"/>
  <c r="D170" i="1"/>
  <c r="D188" i="1"/>
  <c r="E188" i="1" s="1"/>
  <c r="D196" i="1"/>
  <c r="E196" i="1" s="1"/>
  <c r="D163" i="1"/>
  <c r="D171" i="1"/>
  <c r="E171" i="1" s="1"/>
  <c r="D189" i="1"/>
  <c r="D197" i="1"/>
  <c r="E197" i="1" s="1"/>
  <c r="D164" i="1"/>
  <c r="D172" i="1"/>
  <c r="D190" i="1"/>
  <c r="E190" i="1" s="1"/>
  <c r="D198" i="1"/>
  <c r="E198" i="1" s="1"/>
  <c r="D165" i="1"/>
  <c r="D173" i="1"/>
  <c r="E173" i="1" s="1"/>
  <c r="D191" i="1"/>
  <c r="E191" i="1" s="1"/>
  <c r="D199" i="1"/>
  <c r="E199" i="1" s="1"/>
  <c r="D166" i="1"/>
  <c r="D174" i="1"/>
  <c r="D192" i="1"/>
  <c r="E192" i="1" s="1"/>
  <c r="D184" i="1"/>
  <c r="E309" i="1" s="1"/>
  <c r="D167" i="1"/>
  <c r="D175" i="1"/>
  <c r="E175" i="1" s="1"/>
  <c r="B32" i="1"/>
  <c r="B24" i="1"/>
  <c r="B25" i="1"/>
  <c r="B33" i="1"/>
  <c r="B26" i="1"/>
  <c r="B34" i="1"/>
  <c r="B27" i="1"/>
  <c r="B35" i="1"/>
  <c r="B28" i="1"/>
  <c r="B36" i="1"/>
  <c r="B29" i="1"/>
  <c r="B37" i="1"/>
  <c r="B30" i="1"/>
  <c r="B38" i="1"/>
  <c r="B31" i="1"/>
  <c r="B39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233" i="1"/>
  <c r="C234" i="1" s="1"/>
  <c r="F25" i="1"/>
  <c r="E189" i="1"/>
  <c r="D174" i="2"/>
  <c r="D183" i="2"/>
  <c r="E183" i="2" s="1"/>
  <c r="D177" i="2"/>
  <c r="E177" i="2" s="1"/>
  <c r="D176" i="2"/>
  <c r="D184" i="2"/>
  <c r="D185" i="2"/>
  <c r="E185" i="2" s="1"/>
  <c r="D178" i="2"/>
  <c r="E178" i="2" s="1"/>
  <c r="D186" i="2"/>
  <c r="E186" i="2" s="1"/>
  <c r="D175" i="2"/>
  <c r="E175" i="2" s="1"/>
  <c r="D179" i="2"/>
  <c r="E179" i="2" s="1"/>
  <c r="D187" i="2"/>
  <c r="E187" i="2" s="1"/>
  <c r="D189" i="2"/>
  <c r="E189" i="2" s="1"/>
  <c r="D182" i="2"/>
  <c r="E182" i="2" s="1"/>
  <c r="D180" i="2"/>
  <c r="E180" i="2" s="1"/>
  <c r="D188" i="2"/>
  <c r="E188" i="2" s="1"/>
  <c r="D181" i="2"/>
  <c r="E181" i="2" s="1"/>
  <c r="D156" i="2"/>
  <c r="E156" i="2" s="1"/>
  <c r="D164" i="2"/>
  <c r="E164" i="2" s="1"/>
  <c r="D157" i="2"/>
  <c r="E157" i="2" s="1"/>
  <c r="D165" i="2"/>
  <c r="E165" i="2" s="1"/>
  <c r="D158" i="2"/>
  <c r="E158" i="2" s="1"/>
  <c r="D166" i="2"/>
  <c r="E166" i="2" s="1"/>
  <c r="D159" i="2"/>
  <c r="E159" i="2" s="1"/>
  <c r="D167" i="2"/>
  <c r="E167" i="2" s="1"/>
  <c r="D160" i="2"/>
  <c r="E160" i="2" s="1"/>
  <c r="D152" i="2"/>
  <c r="F200" i="2" s="1"/>
  <c r="D155" i="2"/>
  <c r="E155" i="2" s="1"/>
  <c r="D153" i="2"/>
  <c r="E153" i="2" s="1"/>
  <c r="D161" i="2"/>
  <c r="E161" i="2" s="1"/>
  <c r="D154" i="2"/>
  <c r="E154" i="2" s="1"/>
  <c r="D162" i="2"/>
  <c r="D163" i="2"/>
  <c r="E163" i="2" s="1"/>
  <c r="E187" i="1"/>
  <c r="D64" i="2"/>
  <c r="C90" i="2"/>
  <c r="E90" i="2" s="1"/>
  <c r="F90" i="2" s="1"/>
  <c r="C98" i="2"/>
  <c r="E98" i="2" s="1"/>
  <c r="B89" i="2"/>
  <c r="B97" i="2"/>
  <c r="B67" i="2"/>
  <c r="C67" i="2" s="1"/>
  <c r="D67" i="2" s="1"/>
  <c r="E67" i="2" s="1"/>
  <c r="B75" i="2"/>
  <c r="C75" i="2" s="1"/>
  <c r="D75" i="2" s="1"/>
  <c r="E75" i="2" s="1"/>
  <c r="B88" i="2"/>
  <c r="C91" i="2"/>
  <c r="E91" i="2" s="1"/>
  <c r="F91" i="2" s="1"/>
  <c r="C99" i="2"/>
  <c r="E99" i="2" s="1"/>
  <c r="F99" i="2" s="1"/>
  <c r="B90" i="2"/>
  <c r="B98" i="2"/>
  <c r="B68" i="2"/>
  <c r="C68" i="2" s="1"/>
  <c r="D68" i="2" s="1"/>
  <c r="E68" i="2" s="1"/>
  <c r="B76" i="2"/>
  <c r="C76" i="2" s="1"/>
  <c r="D76" i="2" s="1"/>
  <c r="E76" i="2" s="1"/>
  <c r="B74" i="2"/>
  <c r="C74" i="2" s="1"/>
  <c r="D74" i="2" s="1"/>
  <c r="E74" i="2" s="1"/>
  <c r="C92" i="2"/>
  <c r="E92" i="2" s="1"/>
  <c r="F92" i="2" s="1"/>
  <c r="C100" i="2"/>
  <c r="E100" i="2" s="1"/>
  <c r="F100" i="2" s="1"/>
  <c r="B91" i="2"/>
  <c r="B99" i="2"/>
  <c r="B69" i="2"/>
  <c r="C69" i="2" s="1"/>
  <c r="D69" i="2" s="1"/>
  <c r="E69" i="2" s="1"/>
  <c r="B77" i="2"/>
  <c r="C77" i="2" s="1"/>
  <c r="D77" i="2" s="1"/>
  <c r="E77" i="2" s="1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C70" i="2" s="1"/>
  <c r="D70" i="2" s="1"/>
  <c r="E70" i="2" s="1"/>
  <c r="B78" i="2"/>
  <c r="C78" i="2" s="1"/>
  <c r="D78" i="2" s="1"/>
  <c r="E78" i="2" s="1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C71" i="2" s="1"/>
  <c r="D71" i="2" s="1"/>
  <c r="E71" i="2" s="1"/>
  <c r="B79" i="2"/>
  <c r="C79" i="2" s="1"/>
  <c r="D79" i="2" s="1"/>
  <c r="E79" i="2" s="1"/>
  <c r="B66" i="2"/>
  <c r="C66" i="2" s="1"/>
  <c r="D66" i="2" s="1"/>
  <c r="E66" i="2" s="1"/>
  <c r="C95" i="2"/>
  <c r="E95" i="2" s="1"/>
  <c r="F95" i="2" s="1"/>
  <c r="C103" i="2"/>
  <c r="E103" i="2" s="1"/>
  <c r="B94" i="2"/>
  <c r="B102" i="2"/>
  <c r="B72" i="2"/>
  <c r="C72" i="2" s="1"/>
  <c r="D72" i="2" s="1"/>
  <c r="E72" i="2" s="1"/>
  <c r="B96" i="2"/>
  <c r="C96" i="2"/>
  <c r="E96" i="2" s="1"/>
  <c r="F96" i="2" s="1"/>
  <c r="C88" i="2"/>
  <c r="E88" i="2" s="1"/>
  <c r="B95" i="2"/>
  <c r="B103" i="2"/>
  <c r="B65" i="2"/>
  <c r="B73" i="2"/>
  <c r="C73" i="2" s="1"/>
  <c r="D73" i="2" s="1"/>
  <c r="E73" i="2" s="1"/>
  <c r="C17" i="2"/>
  <c r="D17" i="2" s="1"/>
  <c r="C42" i="2"/>
  <c r="C50" i="2"/>
  <c r="B42" i="2"/>
  <c r="B50" i="2"/>
  <c r="B48" i="1"/>
  <c r="G302" i="1" s="1"/>
  <c r="B41" i="2"/>
  <c r="C43" i="2"/>
  <c r="C51" i="2"/>
  <c r="B43" i="2"/>
  <c r="B51" i="2"/>
  <c r="C41" i="2"/>
  <c r="E16" i="2"/>
  <c r="C44" i="2"/>
  <c r="C52" i="2"/>
  <c r="B44" i="2"/>
  <c r="B52" i="2"/>
  <c r="C45" i="2"/>
  <c r="C53" i="2"/>
  <c r="B45" i="2"/>
  <c r="B53" i="2"/>
  <c r="C49" i="1"/>
  <c r="D49" i="1" s="1"/>
  <c r="E49" i="1" s="1"/>
  <c r="C46" i="2"/>
  <c r="C54" i="2"/>
  <c r="B46" i="2"/>
  <c r="B54" i="2"/>
  <c r="C47" i="2"/>
  <c r="C55" i="2"/>
  <c r="B47" i="2"/>
  <c r="B55" i="2"/>
  <c r="B49" i="2"/>
  <c r="C48" i="2"/>
  <c r="B48" i="2"/>
  <c r="C48" i="1"/>
  <c r="D48" i="1" s="1"/>
  <c r="C49" i="2"/>
  <c r="E257" i="1"/>
  <c r="D258" i="1"/>
  <c r="E258" i="1" s="1"/>
  <c r="F258" i="1" s="1"/>
  <c r="B50" i="1"/>
  <c r="E172" i="1"/>
  <c r="E167" i="1"/>
  <c r="E170" i="1"/>
  <c r="E163" i="1"/>
  <c r="E168" i="1"/>
  <c r="E162" i="1"/>
  <c r="E174" i="1"/>
  <c r="E161" i="1"/>
  <c r="E166" i="1"/>
  <c r="E164" i="1"/>
  <c r="E165" i="1"/>
  <c r="C219" i="1"/>
  <c r="C211" i="1"/>
  <c r="C222" i="1"/>
  <c r="C223" i="1"/>
  <c r="C214" i="1"/>
  <c r="C218" i="1"/>
  <c r="C221" i="1"/>
  <c r="C210" i="1"/>
  <c r="C213" i="1"/>
  <c r="C217" i="1"/>
  <c r="C216" i="1"/>
  <c r="C220" i="1"/>
  <c r="C209" i="1"/>
  <c r="C215" i="1"/>
  <c r="C212" i="1"/>
  <c r="C208" i="1"/>
  <c r="F307" i="1" s="1"/>
  <c r="E132" i="1"/>
  <c r="C74" i="1"/>
  <c r="E74" i="1" s="1"/>
  <c r="D74" i="1" s="1"/>
  <c r="E112" i="1"/>
  <c r="E104" i="1"/>
  <c r="E117" i="1"/>
  <c r="E125" i="1"/>
  <c r="E103" i="1"/>
  <c r="E126" i="1"/>
  <c r="E110" i="1"/>
  <c r="E102" i="1"/>
  <c r="E119" i="1"/>
  <c r="E127" i="1"/>
  <c r="E109" i="1"/>
  <c r="E101" i="1"/>
  <c r="E120" i="1"/>
  <c r="E128" i="1"/>
  <c r="E111" i="1"/>
  <c r="E118" i="1"/>
  <c r="E108" i="1"/>
  <c r="E100" i="1"/>
  <c r="E121" i="1"/>
  <c r="E129" i="1"/>
  <c r="E107" i="1"/>
  <c r="E122" i="1"/>
  <c r="E130" i="1"/>
  <c r="E106" i="1"/>
  <c r="E98" i="1"/>
  <c r="E123" i="1"/>
  <c r="E131" i="1"/>
  <c r="E99" i="1"/>
  <c r="E105" i="1"/>
  <c r="E97" i="1"/>
  <c r="F305" i="1" s="1"/>
  <c r="E124" i="1"/>
  <c r="D102" i="1"/>
  <c r="F102" i="1" s="1"/>
  <c r="D111" i="1"/>
  <c r="F111" i="1" s="1"/>
  <c r="D112" i="1"/>
  <c r="F112" i="1" s="1"/>
  <c r="D104" i="1"/>
  <c r="F104" i="1" s="1"/>
  <c r="D103" i="1"/>
  <c r="F103" i="1" s="1"/>
  <c r="D110" i="1"/>
  <c r="F110" i="1" s="1"/>
  <c r="D109" i="1"/>
  <c r="F109" i="1" s="1"/>
  <c r="D101" i="1"/>
  <c r="F101" i="1" s="1"/>
  <c r="D108" i="1"/>
  <c r="F108" i="1" s="1"/>
  <c r="D100" i="1"/>
  <c r="F100" i="1" s="1"/>
  <c r="D107" i="1"/>
  <c r="F107" i="1" s="1"/>
  <c r="D99" i="1"/>
  <c r="F99" i="1" s="1"/>
  <c r="D106" i="1"/>
  <c r="F106" i="1" s="1"/>
  <c r="D98" i="1"/>
  <c r="F98" i="1" s="1"/>
  <c r="D105" i="1"/>
  <c r="F105" i="1" s="1"/>
  <c r="D97" i="1"/>
  <c r="F97" i="1" s="1"/>
  <c r="D119" i="1"/>
  <c r="F119" i="1" s="1"/>
  <c r="D121" i="1"/>
  <c r="F121" i="1" s="1"/>
  <c r="D120" i="1"/>
  <c r="F120" i="1" s="1"/>
  <c r="D117" i="1"/>
  <c r="D118" i="1"/>
  <c r="B82" i="1"/>
  <c r="B80" i="1"/>
  <c r="C75" i="1"/>
  <c r="B74" i="1"/>
  <c r="C78" i="1"/>
  <c r="B72" i="1"/>
  <c r="G301" i="1" s="1"/>
  <c r="C86" i="1"/>
  <c r="C83" i="1"/>
  <c r="B85" i="1"/>
  <c r="C81" i="1"/>
  <c r="B77" i="1"/>
  <c r="C73" i="1"/>
  <c r="B79" i="1"/>
  <c r="B87" i="1"/>
  <c r="C72" i="1"/>
  <c r="C80" i="1"/>
  <c r="B86" i="1"/>
  <c r="B78" i="1"/>
  <c r="C87" i="1"/>
  <c r="C79" i="1"/>
  <c r="B84" i="1"/>
  <c r="B76" i="1"/>
  <c r="C85" i="1"/>
  <c r="C77" i="1"/>
  <c r="B55" i="1"/>
  <c r="B83" i="1"/>
  <c r="B75" i="1"/>
  <c r="C84" i="1"/>
  <c r="C76" i="1"/>
  <c r="B81" i="1"/>
  <c r="B73" i="1"/>
  <c r="C82" i="1"/>
  <c r="C63" i="1"/>
  <c r="D63" i="1" s="1"/>
  <c r="E63" i="1" s="1"/>
  <c r="B62" i="1"/>
  <c r="B54" i="1"/>
  <c r="C62" i="1"/>
  <c r="D62" i="1" s="1"/>
  <c r="E62" i="1" s="1"/>
  <c r="C54" i="1"/>
  <c r="D54" i="1" s="1"/>
  <c r="E54" i="1" s="1"/>
  <c r="B61" i="1"/>
  <c r="B53" i="1"/>
  <c r="C61" i="1"/>
  <c r="D61" i="1" s="1"/>
  <c r="E61" i="1" s="1"/>
  <c r="C53" i="1"/>
  <c r="D53" i="1" s="1"/>
  <c r="E53" i="1" s="1"/>
  <c r="B52" i="1"/>
  <c r="B63" i="1"/>
  <c r="C55" i="1"/>
  <c r="D55" i="1" s="1"/>
  <c r="E55" i="1" s="1"/>
  <c r="B60" i="1"/>
  <c r="C60" i="1"/>
  <c r="D60" i="1" s="1"/>
  <c r="E60" i="1" s="1"/>
  <c r="C52" i="1"/>
  <c r="D52" i="1" s="1"/>
  <c r="E52" i="1" s="1"/>
  <c r="B59" i="1"/>
  <c r="B51" i="1"/>
  <c r="C59" i="1"/>
  <c r="D59" i="1" s="1"/>
  <c r="E59" i="1" s="1"/>
  <c r="C51" i="1"/>
  <c r="D51" i="1" s="1"/>
  <c r="E51" i="1" s="1"/>
  <c r="C56" i="1"/>
  <c r="D56" i="1" s="1"/>
  <c r="E56" i="1" s="1"/>
  <c r="B58" i="1"/>
  <c r="C58" i="1"/>
  <c r="D58" i="1" s="1"/>
  <c r="E58" i="1" s="1"/>
  <c r="C50" i="1"/>
  <c r="D50" i="1" s="1"/>
  <c r="E50" i="1" s="1"/>
  <c r="B57" i="1"/>
  <c r="B49" i="1"/>
  <c r="C57" i="1"/>
  <c r="D57" i="1" s="1"/>
  <c r="E57" i="1" s="1"/>
  <c r="B56" i="1"/>
  <c r="E174" i="2" l="1"/>
  <c r="E202" i="2" s="1"/>
  <c r="F202" i="2"/>
  <c r="D103" i="2"/>
  <c r="E162" i="2"/>
  <c r="E207" i="2" s="1"/>
  <c r="F207" i="2"/>
  <c r="E184" i="2"/>
  <c r="E209" i="2" s="1"/>
  <c r="F209" i="2"/>
  <c r="E152" i="2"/>
  <c r="E200" i="2" s="1"/>
  <c r="F103" i="2"/>
  <c r="E176" i="2"/>
  <c r="E184" i="1"/>
  <c r="F309" i="1" s="1"/>
  <c r="D140" i="2"/>
  <c r="E140" i="2" s="1"/>
  <c r="C141" i="2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C65" i="2"/>
  <c r="D65" i="2" s="1"/>
  <c r="E65" i="2" s="1"/>
  <c r="E160" i="1"/>
  <c r="F306" i="1" s="1"/>
  <c r="E306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F112" i="2"/>
  <c r="E40" i="2"/>
  <c r="G110" i="2"/>
  <c r="E47" i="2"/>
  <c r="F47" i="2" s="1"/>
  <c r="E41" i="2"/>
  <c r="F41" i="2" s="1"/>
  <c r="E17" i="2"/>
  <c r="F17" i="2" s="1"/>
  <c r="C18" i="2"/>
  <c r="D18" i="2" s="1"/>
  <c r="D96" i="2"/>
  <c r="E48" i="2"/>
  <c r="F48" i="2" s="1"/>
  <c r="F111" i="2"/>
  <c r="E64" i="2"/>
  <c r="E111" i="2" s="1"/>
  <c r="C235" i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F257" i="1"/>
  <c r="E303" i="1" s="1"/>
  <c r="F303" i="1"/>
  <c r="B259" i="1"/>
  <c r="C259" i="1" s="1"/>
  <c r="E48" i="1"/>
  <c r="E302" i="1" s="1"/>
  <c r="F302" i="1"/>
  <c r="G97" i="1"/>
  <c r="H97" i="1" s="1"/>
  <c r="C98" i="1"/>
  <c r="G98" i="1" s="1"/>
  <c r="H98" i="1" s="1"/>
  <c r="I98" i="1" s="1"/>
  <c r="D122" i="1"/>
  <c r="F122" i="1" s="1"/>
  <c r="F117" i="1"/>
  <c r="G117" i="1" s="1"/>
  <c r="C118" i="1"/>
  <c r="C119" i="1" s="1"/>
  <c r="F118" i="1"/>
  <c r="E76" i="1"/>
  <c r="D76" i="1" s="1"/>
  <c r="E84" i="1"/>
  <c r="D84" i="1" s="1"/>
  <c r="E79" i="1"/>
  <c r="D79" i="1" s="1"/>
  <c r="E73" i="1"/>
  <c r="D73" i="1" s="1"/>
  <c r="E87" i="1"/>
  <c r="D87" i="1" s="1"/>
  <c r="E75" i="1"/>
  <c r="D75" i="1" s="1"/>
  <c r="E78" i="1"/>
  <c r="D78" i="1" s="1"/>
  <c r="E81" i="1"/>
  <c r="D81" i="1" s="1"/>
  <c r="E77" i="1"/>
  <c r="D77" i="1" s="1"/>
  <c r="E83" i="1"/>
  <c r="D83" i="1" s="1"/>
  <c r="E82" i="1"/>
  <c r="D82" i="1" s="1"/>
  <c r="E80" i="1"/>
  <c r="D80" i="1" s="1"/>
  <c r="E85" i="1"/>
  <c r="D85" i="1" s="1"/>
  <c r="E72" i="1"/>
  <c r="E86" i="1"/>
  <c r="D86" i="1" s="1"/>
  <c r="F140" i="2" l="1"/>
  <c r="E208" i="2" s="1"/>
  <c r="F208" i="2"/>
  <c r="C142" i="2"/>
  <c r="D141" i="2"/>
  <c r="E141" i="2" s="1"/>
  <c r="F141" i="2" s="1"/>
  <c r="F40" i="2"/>
  <c r="E110" i="2" s="1"/>
  <c r="F110" i="2"/>
  <c r="C19" i="2"/>
  <c r="D19" i="2" s="1"/>
  <c r="E18" i="2"/>
  <c r="F18" i="2" s="1"/>
  <c r="D259" i="1"/>
  <c r="E259" i="1" s="1"/>
  <c r="F259" i="1" s="1"/>
  <c r="D72" i="1"/>
  <c r="F301" i="1" s="1"/>
  <c r="E301" i="1"/>
  <c r="I97" i="1"/>
  <c r="C99" i="1"/>
  <c r="G99" i="1" s="1"/>
  <c r="H99" i="1" s="1"/>
  <c r="I99" i="1" s="1"/>
  <c r="D123" i="1"/>
  <c r="F123" i="1" s="1"/>
  <c r="H117" i="1"/>
  <c r="I117" i="1" s="1"/>
  <c r="C120" i="1"/>
  <c r="G119" i="1"/>
  <c r="H119" i="1" s="1"/>
  <c r="I119" i="1" s="1"/>
  <c r="G118" i="1"/>
  <c r="H118" i="1" s="1"/>
  <c r="I118" i="1" s="1"/>
  <c r="C143" i="2" l="1"/>
  <c r="D142" i="2"/>
  <c r="E142" i="2" s="1"/>
  <c r="F142" i="2" s="1"/>
  <c r="C20" i="2"/>
  <c r="D20" i="2" s="1"/>
  <c r="B260" i="1"/>
  <c r="C100" i="1"/>
  <c r="G100" i="1" s="1"/>
  <c r="H100" i="1" s="1"/>
  <c r="I100" i="1" s="1"/>
  <c r="D124" i="1"/>
  <c r="F124" i="1" s="1"/>
  <c r="C121" i="1"/>
  <c r="G120" i="1"/>
  <c r="H120" i="1" s="1"/>
  <c r="I120" i="1" s="1"/>
  <c r="C144" i="2" l="1"/>
  <c r="D143" i="2"/>
  <c r="E143" i="2" s="1"/>
  <c r="F143" i="2" s="1"/>
  <c r="E19" i="2"/>
  <c r="F19" i="2" s="1"/>
  <c r="C21" i="2"/>
  <c r="D21" i="2" s="1"/>
  <c r="E20" i="2"/>
  <c r="F20" i="2" s="1"/>
  <c r="C260" i="1"/>
  <c r="D260" i="1" s="1"/>
  <c r="C101" i="1"/>
  <c r="G101" i="1" s="1"/>
  <c r="H101" i="1" s="1"/>
  <c r="I101" i="1" s="1"/>
  <c r="D125" i="1"/>
  <c r="F125" i="1" s="1"/>
  <c r="C122" i="1"/>
  <c r="G121" i="1"/>
  <c r="H121" i="1" s="1"/>
  <c r="I121" i="1" s="1"/>
  <c r="C145" i="2" l="1"/>
  <c r="D145" i="2" s="1"/>
  <c r="E145" i="2" s="1"/>
  <c r="F145" i="2" s="1"/>
  <c r="D144" i="2"/>
  <c r="E144" i="2" s="1"/>
  <c r="F144" i="2" s="1"/>
  <c r="C22" i="2"/>
  <c r="D22" i="2" s="1"/>
  <c r="E21" i="2"/>
  <c r="F21" i="2" s="1"/>
  <c r="E260" i="1"/>
  <c r="F260" i="1" s="1"/>
  <c r="B261" i="1"/>
  <c r="C261" i="1" s="1"/>
  <c r="D261" i="1" s="1"/>
  <c r="E261" i="1" s="1"/>
  <c r="F261" i="1" s="1"/>
  <c r="C102" i="1"/>
  <c r="D126" i="1"/>
  <c r="F126" i="1" s="1"/>
  <c r="C123" i="1"/>
  <c r="G122" i="1"/>
  <c r="H122" i="1" s="1"/>
  <c r="I122" i="1" s="1"/>
  <c r="C23" i="2" l="1"/>
  <c r="D23" i="2" s="1"/>
  <c r="E22" i="2"/>
  <c r="F22" i="2" s="1"/>
  <c r="B262" i="1"/>
  <c r="C262" i="1" s="1"/>
  <c r="G102" i="1"/>
  <c r="H102" i="1" s="1"/>
  <c r="I102" i="1" s="1"/>
  <c r="C103" i="1"/>
  <c r="D127" i="1"/>
  <c r="F127" i="1" s="1"/>
  <c r="G123" i="1"/>
  <c r="H123" i="1" s="1"/>
  <c r="I123" i="1" s="1"/>
  <c r="C124" i="1"/>
  <c r="C24" i="2" l="1"/>
  <c r="D24" i="2" s="1"/>
  <c r="E23" i="2"/>
  <c r="F23" i="2" s="1"/>
  <c r="D262" i="1"/>
  <c r="E262" i="1" s="1"/>
  <c r="F262" i="1" s="1"/>
  <c r="G103" i="1"/>
  <c r="H103" i="1" s="1"/>
  <c r="I103" i="1" s="1"/>
  <c r="C104" i="1"/>
  <c r="D128" i="1"/>
  <c r="F128" i="1" s="1"/>
  <c r="G124" i="1"/>
  <c r="H124" i="1" s="1"/>
  <c r="I124" i="1" s="1"/>
  <c r="C125" i="1"/>
  <c r="C25" i="2" l="1"/>
  <c r="D25" i="2" s="1"/>
  <c r="E24" i="2"/>
  <c r="F24" i="2" s="1"/>
  <c r="B263" i="1"/>
  <c r="C263" i="1" s="1"/>
  <c r="G104" i="1"/>
  <c r="H104" i="1" s="1"/>
  <c r="I104" i="1" s="1"/>
  <c r="C105" i="1"/>
  <c r="D129" i="1"/>
  <c r="F129" i="1" s="1"/>
  <c r="C126" i="1"/>
  <c r="G125" i="1"/>
  <c r="H125" i="1" s="1"/>
  <c r="I125" i="1" s="1"/>
  <c r="C26" i="2" l="1"/>
  <c r="D26" i="2" s="1"/>
  <c r="E25" i="2"/>
  <c r="F25" i="2" s="1"/>
  <c r="D263" i="1"/>
  <c r="E263" i="1" s="1"/>
  <c r="F263" i="1" s="1"/>
  <c r="G105" i="1"/>
  <c r="H105" i="1" s="1"/>
  <c r="I105" i="1" s="1"/>
  <c r="C106" i="1"/>
  <c r="D130" i="1"/>
  <c r="F130" i="1" s="1"/>
  <c r="G126" i="1"/>
  <c r="H126" i="1" s="1"/>
  <c r="I126" i="1" s="1"/>
  <c r="C127" i="1"/>
  <c r="C27" i="2" l="1"/>
  <c r="D27" i="2" s="1"/>
  <c r="E26" i="2"/>
  <c r="F26" i="2" s="1"/>
  <c r="B264" i="1"/>
  <c r="C264" i="1" s="1"/>
  <c r="G106" i="1"/>
  <c r="H106" i="1" s="1"/>
  <c r="I106" i="1" s="1"/>
  <c r="C107" i="1"/>
  <c r="D131" i="1"/>
  <c r="F131" i="1" s="1"/>
  <c r="D132" i="1"/>
  <c r="F132" i="1" s="1"/>
  <c r="C128" i="1"/>
  <c r="G127" i="1"/>
  <c r="H127" i="1" s="1"/>
  <c r="I127" i="1" s="1"/>
  <c r="C28" i="2" l="1"/>
  <c r="D28" i="2" s="1"/>
  <c r="E27" i="2"/>
  <c r="F27" i="2" s="1"/>
  <c r="D264" i="1"/>
  <c r="E264" i="1" s="1"/>
  <c r="F264" i="1" s="1"/>
  <c r="G107" i="1"/>
  <c r="H107" i="1" s="1"/>
  <c r="I107" i="1" s="1"/>
  <c r="C108" i="1"/>
  <c r="G128" i="1"/>
  <c r="H128" i="1" s="1"/>
  <c r="I128" i="1" s="1"/>
  <c r="C129" i="1"/>
  <c r="C29" i="2" l="1"/>
  <c r="D29" i="2" s="1"/>
  <c r="E28" i="2"/>
  <c r="F28" i="2" s="1"/>
  <c r="B265" i="1"/>
  <c r="C265" i="1" s="1"/>
  <c r="G108" i="1"/>
  <c r="H108" i="1" s="1"/>
  <c r="I108" i="1" s="1"/>
  <c r="C109" i="1"/>
  <c r="G129" i="1"/>
  <c r="H129" i="1" s="1"/>
  <c r="I129" i="1" s="1"/>
  <c r="C130" i="1"/>
  <c r="C30" i="2" l="1"/>
  <c r="D30" i="2" s="1"/>
  <c r="E29" i="2"/>
  <c r="F29" i="2" s="1"/>
  <c r="D265" i="1"/>
  <c r="E265" i="1" s="1"/>
  <c r="F265" i="1" s="1"/>
  <c r="G109" i="1"/>
  <c r="H109" i="1" s="1"/>
  <c r="I109" i="1" s="1"/>
  <c r="C110" i="1"/>
  <c r="C131" i="1"/>
  <c r="G130" i="1"/>
  <c r="H130" i="1" s="1"/>
  <c r="I130" i="1" s="1"/>
  <c r="E30" i="2" l="1"/>
  <c r="F30" i="2" s="1"/>
  <c r="C31" i="2"/>
  <c r="B266" i="1"/>
  <c r="C266" i="1" s="1"/>
  <c r="G110" i="1"/>
  <c r="H110" i="1" s="1"/>
  <c r="I110" i="1" s="1"/>
  <c r="C111" i="1"/>
  <c r="G131" i="1"/>
  <c r="H131" i="1" s="1"/>
  <c r="I131" i="1" s="1"/>
  <c r="C132" i="1"/>
  <c r="G132" i="1" s="1"/>
  <c r="H132" i="1" s="1"/>
  <c r="I132" i="1" s="1"/>
  <c r="D31" i="2" l="1"/>
  <c r="E31" i="2" s="1"/>
  <c r="F31" i="2" s="1"/>
  <c r="D266" i="1"/>
  <c r="E266" i="1" s="1"/>
  <c r="F266" i="1" s="1"/>
  <c r="G111" i="1"/>
  <c r="H111" i="1" s="1"/>
  <c r="I111" i="1" s="1"/>
  <c r="C112" i="1"/>
  <c r="G112" i="1" s="1"/>
  <c r="H112" i="1" s="1"/>
  <c r="I112" i="1" s="1"/>
  <c r="B267" i="1" l="1"/>
  <c r="C267" i="1" s="1"/>
  <c r="D267" i="1" l="1"/>
  <c r="E267" i="1" s="1"/>
  <c r="F267" i="1" s="1"/>
  <c r="E283" i="1"/>
  <c r="B268" i="1" l="1"/>
  <c r="C268" i="1" s="1"/>
  <c r="D268" i="1" l="1"/>
  <c r="E268" i="1" s="1"/>
  <c r="F268" i="1" s="1"/>
  <c r="E284" i="1"/>
  <c r="B269" i="1" l="1"/>
  <c r="C269" i="1" s="1"/>
  <c r="E285" i="1"/>
  <c r="D269" i="1" l="1"/>
  <c r="E269" i="1" s="1"/>
  <c r="F269" i="1" s="1"/>
  <c r="E286" i="1" l="1"/>
  <c r="B270" i="1"/>
  <c r="C270" i="1" s="1"/>
  <c r="D270" i="1" l="1"/>
  <c r="E270" i="1" s="1"/>
  <c r="F270" i="1" s="1"/>
  <c r="B271" i="1" l="1"/>
  <c r="C271" i="1" s="1"/>
  <c r="E287" i="1"/>
  <c r="D271" i="1" l="1"/>
  <c r="E271" i="1" s="1"/>
  <c r="F271" i="1" s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<sst xmlns="http://schemas.openxmlformats.org/spreadsheetml/2006/main" count="458" uniqueCount="135">
  <si>
    <t>User Type</t>
  </si>
  <si>
    <t>Bandwidth</t>
  </si>
  <si>
    <t>Disk Space</t>
  </si>
  <si>
    <t>Memory</t>
  </si>
  <si>
    <t>Power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</si>
  <si>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</si>
  <si>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</si>
  <si>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</si>
  <si>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</si>
  <si>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</si>
  <si>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</si>
  <si>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</si>
  <si>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</si>
  <si>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</si>
  <si>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</si>
  <si>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</si>
  <si>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</si>
  <si>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</si>
  <si>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</si>
  <si>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</si>
  <si>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</si>
  <si>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</si>
  <si>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</si>
  <si>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</si>
  <si>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</si>
  <si>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</si>
  <si>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</si>
  <si>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</si>
  <si>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</si>
  <si>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</si>
  <si>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</si>
  <si>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</si>
  <si>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</si>
  <si>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</si>
  <si>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</si>
  <si>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</si>
  <si>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</si>
  <si>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</si>
  <si>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</si>
  <si>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</si>
  <si>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</si>
  <si>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</si>
  <si>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</si>
  <si>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</si>
  <si>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</si>
  <si>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</si>
  <si>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</si>
  <si>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</si>
  <si>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</si>
  <si>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</si>
  <si>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</si>
  <si>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</si>
  <si>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</si>
  <si>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</si>
  <si>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</si>
  <si>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</si>
  <si>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</si>
  <si>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</si>
  <si>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</si>
  <si>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</si>
  <si>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</si>
  <si>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</si>
  <si>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</si>
  <si>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</si>
  <si>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</si>
  <si>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</si>
  <si>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</si>
  <si>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</si>
  <si>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</si>
  <si>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</si>
  <si>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</si>
  <si>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</si>
  <si>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</si>
  <si>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</si>
  <si>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</si>
  <si>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</si>
  <si>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</si>
  <si>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</si>
  <si>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inv</t>
  </si>
  <si>
    <t>message</t>
  </si>
  <si>
    <t>UTXO Disk Usage</t>
  </si>
  <si>
    <t>(percentile)</t>
  </si>
  <si>
    <t>Avg</t>
  </si>
  <si>
    <t>Transaction Size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</si>
  <si>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</si>
  <si>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</si>
  <si>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</si>
  <si>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</si>
  <si>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</si>
  <si>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</si>
  <si>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</si>
  <si>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</si>
  <si>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</si>
  <si>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</si>
  <si>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</si>
  <si>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</si>
  <si>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</si>
  <si>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</si>
  <si>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</si>
  <si>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</si>
  <si>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</si>
  <si>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</si>
  <si>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</si>
  <si>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</si>
  <si>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</si>
  <si>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</si>
  <si>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</si>
  <si>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</si>
  <si>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</si>
  <si>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</si>
  <si>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</si>
  <si>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Merkle</t>
  </si>
  <si>
    <t>Levels</t>
  </si>
  <si>
    <t>In Memory</t>
  </si>
  <si>
    <t xml:space="preserve">Min </t>
  </si>
  <si>
    <t>Security Goal</t>
  </si>
  <si>
    <t xml:space="preserve">50% Eclipse </t>
  </si>
  <si>
    <t>Emergency TPS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</si>
  <si>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</si>
  <si>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</si>
  <si>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</si>
  <si>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</si>
  <si>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</si>
  <si>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</si>
  <si>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</si>
  <si>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</si>
  <si>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</si>
  <si>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</si>
  <si>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</si>
  <si>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</si>
  <si>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</si>
  <si>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Initial Sync</t>
  </si>
  <si>
    <t>Future throughput</t>
  </si>
  <si>
    <t>Future throughput summary (based on today's machine resources)</t>
  </si>
  <si>
    <t>Future throughput summary (based on expect machine resources avaliable 10 years from now)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</si>
</sst>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64" fontId="0" fillId="0" borderId="0" xfId="0" applyNumberForma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172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0" fontId="4" fillId="3" borderId="0" xfId="0" applyFont="1" applyFill="1"/>
    <xf numFmtId="186" fontId="0" fillId="0" borderId="0" xfId="0" applyNumberFormat="1" applyFont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9" fontId="0" fillId="0" borderId="0" xfId="0" applyNumberFormat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1"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Bitcoin'!$B$46:$B$47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Bitcoin'!$B$48:$B$63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8672"/>
        <c:axId val="156114944"/>
      </c:lineChart>
      <c:lineChart>
        <c:grouping val="standard"/>
        <c:varyColors val="0"/>
        <c:ser>
          <c:idx val="2"/>
          <c:order val="0"/>
          <c:tx>
            <c:strRef>
              <c:f>'Current Bitcoin'!$D$47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Bitcoin'!$D$48:$D$63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18016"/>
        <c:axId val="156116480"/>
      </c:lineChart>
      <c:catAx>
        <c:axId val="1561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6114944"/>
        <c:crosses val="autoZero"/>
        <c:auto val="1"/>
        <c:lblAlgn val="ctr"/>
        <c:lblOffset val="100"/>
        <c:noMultiLvlLbl val="0"/>
      </c:catAx>
      <c:valAx>
        <c:axId val="15611494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56108672"/>
        <c:crosses val="autoZero"/>
        <c:crossBetween val="between"/>
      </c:valAx>
      <c:valAx>
        <c:axId val="156116480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6118016"/>
        <c:crosses val="max"/>
        <c:crossBetween val="between"/>
      </c:valAx>
      <c:catAx>
        <c:axId val="15611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164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Bitcoin'!$B$70:$B$71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Bitcoin'!$B$72:$B$87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56672"/>
        <c:axId val="156158592"/>
      </c:lineChart>
      <c:lineChart>
        <c:grouping val="standard"/>
        <c:varyColors val="0"/>
        <c:ser>
          <c:idx val="2"/>
          <c:order val="0"/>
          <c:tx>
            <c:strRef>
              <c:f>'Current Bitcoin'!$D$71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Bitcoin'!$D$72:$D$87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66016"/>
        <c:axId val="156164480"/>
      </c:lineChart>
      <c:catAx>
        <c:axId val="1561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6158592"/>
        <c:crosses val="autoZero"/>
        <c:auto val="1"/>
        <c:lblAlgn val="ctr"/>
        <c:lblOffset val="100"/>
        <c:noMultiLvlLbl val="0"/>
      </c:catAx>
      <c:valAx>
        <c:axId val="156158592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56156672"/>
        <c:crosses val="autoZero"/>
        <c:crossBetween val="between"/>
      </c:valAx>
      <c:valAx>
        <c:axId val="156164480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6166016"/>
        <c:crosses val="max"/>
        <c:crossBetween val="between"/>
      </c:valAx>
      <c:catAx>
        <c:axId val="1561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644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Bitcoin'!$E$95:$E$96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Bitcoin'!$E$97:$E$112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92128"/>
        <c:axId val="156202496"/>
      </c:lineChart>
      <c:lineChart>
        <c:grouping val="standard"/>
        <c:varyColors val="0"/>
        <c:ser>
          <c:idx val="2"/>
          <c:order val="0"/>
          <c:tx>
            <c:strRef>
              <c:f>'Current Bitcoin'!$C$96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Bitcoin'!$C$97:$C$112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14016"/>
        <c:axId val="156204032"/>
      </c:lineChart>
      <c:catAx>
        <c:axId val="1561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6202496"/>
        <c:crosses val="autoZero"/>
        <c:auto val="1"/>
        <c:lblAlgn val="ctr"/>
        <c:lblOffset val="100"/>
        <c:noMultiLvlLbl val="0"/>
      </c:catAx>
      <c:valAx>
        <c:axId val="156202496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56192128"/>
        <c:crosses val="autoZero"/>
        <c:crossBetween val="between"/>
      </c:valAx>
      <c:valAx>
        <c:axId val="156204032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6214016"/>
        <c:crosses val="max"/>
        <c:crossBetween val="between"/>
      </c:valAx>
      <c:catAx>
        <c:axId val="15621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2040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Bitcoin'!$E$115:$E$116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Bitcoin'!$E$117:$E$132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5776"/>
        <c:axId val="172242048"/>
      </c:lineChart>
      <c:lineChart>
        <c:grouping val="standard"/>
        <c:varyColors val="0"/>
        <c:ser>
          <c:idx val="2"/>
          <c:order val="0"/>
          <c:tx>
            <c:strRef>
              <c:f>'Current Bitcoin'!$C$116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Bitcoin'!$C$117:$C$132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57664"/>
        <c:axId val="172243584"/>
      </c:lineChart>
      <c:catAx>
        <c:axId val="1722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242048"/>
        <c:crosses val="autoZero"/>
        <c:auto val="1"/>
        <c:lblAlgn val="ctr"/>
        <c:lblOffset val="100"/>
        <c:noMultiLvlLbl val="0"/>
      </c:catAx>
      <c:valAx>
        <c:axId val="17224204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72235776"/>
        <c:crosses val="autoZero"/>
        <c:crossBetween val="between"/>
      </c:valAx>
      <c:valAx>
        <c:axId val="17224358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72257664"/>
        <c:crosses val="max"/>
        <c:crossBetween val="between"/>
      </c:valAx>
      <c:catAx>
        <c:axId val="17225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243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Bitcoin'!$D$280:$D$281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Bitcoin'!$A$282:$A$297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Bitcoin'!$D$282:$D$297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Bitcoin'!$C$280:$C$281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Bitcoin'!$A$282:$A$297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Bitcoin'!$C$282:$C$297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4544"/>
        <c:axId val="172290816"/>
      </c:lineChart>
      <c:catAx>
        <c:axId val="1722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290816"/>
        <c:crosses val="autoZero"/>
        <c:auto val="1"/>
        <c:lblAlgn val="ctr"/>
        <c:lblOffset val="100"/>
        <c:noMultiLvlLbl val="0"/>
      </c:catAx>
      <c:valAx>
        <c:axId val="17229081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7228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69977917687"/>
          <c:y val="0.31440586639761953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Bitcoin'!$C$206:$C$207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Bitcoin'!$C$208:$C$223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21792"/>
        <c:axId val="172340352"/>
      </c:lineChart>
      <c:lineChart>
        <c:grouping val="standard"/>
        <c:varyColors val="0"/>
        <c:ser>
          <c:idx val="2"/>
          <c:order val="1"/>
          <c:tx>
            <c:strRef>
              <c:f>'Current Bitcoin'!$B$207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Bitcoin'!$A$208:$A$223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Bitcoin'!$B$208:$B$223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43680"/>
        <c:axId val="172341888"/>
      </c:lineChart>
      <c:catAx>
        <c:axId val="1723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340352"/>
        <c:crosses val="autoZero"/>
        <c:auto val="1"/>
        <c:lblAlgn val="ctr"/>
        <c:lblOffset val="100"/>
        <c:noMultiLvlLbl val="0"/>
      </c:catAx>
      <c:valAx>
        <c:axId val="172340352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72321792"/>
        <c:crosses val="autoZero"/>
        <c:crossBetween val="between"/>
      </c:valAx>
      <c:valAx>
        <c:axId val="172341888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72343680"/>
        <c:crosses val="max"/>
        <c:crossBetween val="between"/>
      </c:valAx>
      <c:catAx>
        <c:axId val="17234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3418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Bitcoin'!$C$230:$C$231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Bitcoin'!$A$232:$A$247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Bitcoin'!$C$232:$C$247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Bitcoin'!$B$230:$B$231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Bitcoin'!$A$232:$A$247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Bitcoin'!$B$232:$B$247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46464"/>
        <c:axId val="172448384"/>
      </c:lineChart>
      <c:catAx>
        <c:axId val="1724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448384"/>
        <c:crosses val="autoZero"/>
        <c:auto val="1"/>
        <c:lblAlgn val="ctr"/>
        <c:lblOffset val="100"/>
        <c:noMultiLvlLbl val="0"/>
      </c:catAx>
      <c:valAx>
        <c:axId val="17244838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7244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73344"/>
        <c:axId val="172369024"/>
      </c:lineChart>
      <c:catAx>
        <c:axId val="1724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369024"/>
        <c:crosses val="autoZero"/>
        <c:auto val="1"/>
        <c:lblAlgn val="ctr"/>
        <c:lblOffset val="100"/>
        <c:noMultiLvlLbl val="0"/>
      </c:catAx>
      <c:valAx>
        <c:axId val="172369024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17247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46</xdr:row>
      <xdr:rowOff>28575</xdr:rowOff>
    </xdr:from>
    <xdr:to>
      <xdr:col>10</xdr:col>
      <xdr:colOff>447675</xdr:colOff>
      <xdr:row>63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70</xdr:row>
      <xdr:rowOff>85725</xdr:rowOff>
    </xdr:from>
    <xdr:to>
      <xdr:col>10</xdr:col>
      <xdr:colOff>400049</xdr:colOff>
      <xdr:row>87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133</xdr:row>
      <xdr:rowOff>76199</xdr:rowOff>
    </xdr:from>
    <xdr:to>
      <xdr:col>4</xdr:col>
      <xdr:colOff>361949</xdr:colOff>
      <xdr:row>151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133</xdr:row>
      <xdr:rowOff>47625</xdr:rowOff>
    </xdr:from>
    <xdr:to>
      <xdr:col>10</xdr:col>
      <xdr:colOff>219074</xdr:colOff>
      <xdr:row>151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278</xdr:row>
      <xdr:rowOff>104775</xdr:rowOff>
    </xdr:from>
    <xdr:to>
      <xdr:col>10</xdr:col>
      <xdr:colOff>323849</xdr:colOff>
      <xdr:row>296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204</xdr:row>
      <xdr:rowOff>133350</xdr:rowOff>
    </xdr:from>
    <xdr:to>
      <xdr:col>9</xdr:col>
      <xdr:colOff>133349</xdr:colOff>
      <xdr:row>221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229</xdr:row>
      <xdr:rowOff>57150</xdr:rowOff>
    </xdr:from>
    <xdr:to>
      <xdr:col>8</xdr:col>
      <xdr:colOff>723900</xdr:colOff>
      <xdr:row>247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9"/>
  <sheetViews>
    <sheetView topLeftCell="A250" workbookViewId="0">
      <selection activeCell="D309" sqref="D309"/>
    </sheetView>
  </sheetViews>
  <sheetFormatPr defaultRowHeight="15" x14ac:dyDescent="0.25"/>
  <cols>
    <col min="1" max="1" width="11.28515625" customWidth="1"/>
    <col min="2" max="2" width="14.140625" customWidth="1"/>
    <col min="3" max="3" width="16.5703125" customWidth="1"/>
    <col min="4" max="4" width="17" customWidth="1"/>
    <col min="5" max="5" width="11.7109375" customWidth="1"/>
    <col min="6" max="6" width="16.28515625" customWidth="1"/>
    <col min="7" max="7" width="13.85546875" customWidth="1"/>
    <col min="8" max="8" width="13.140625" customWidth="1"/>
    <col min="9" max="9" width="12" bestFit="1" customWidth="1"/>
  </cols>
  <sheetData>
    <row r="1" spans="1:11" x14ac:dyDescent="0.25">
      <c r="A1" s="1" t="s">
        <v>0</v>
      </c>
      <c r="G1" s="1" t="s">
        <v>77</v>
      </c>
      <c r="H1" s="1" t="s">
        <v>76</v>
      </c>
      <c r="J1" s="1" t="s">
        <v>16</v>
      </c>
      <c r="K1" s="1" t="s">
        <v>39</v>
      </c>
    </row>
    <row r="2" spans="1:11" x14ac:dyDescent="0.25">
      <c r="A2" s="1" t="s">
        <v>81</v>
      </c>
      <c r="B2" s="1" t="s">
        <v>1</v>
      </c>
      <c r="C2" s="1" t="s">
        <v>2</v>
      </c>
      <c r="D2" s="1" t="s">
        <v>3</v>
      </c>
      <c r="E2" s="1" t="s">
        <v>11</v>
      </c>
      <c r="F2" s="1" t="s">
        <v>4</v>
      </c>
      <c r="G2" s="1" t="s">
        <v>58</v>
      </c>
      <c r="H2" s="1" t="s">
        <v>58</v>
      </c>
      <c r="I2" s="1" t="s">
        <v>16</v>
      </c>
      <c r="J2" s="1" t="s">
        <v>17</v>
      </c>
      <c r="K2" s="1" t="s">
        <v>17</v>
      </c>
    </row>
    <row r="3" spans="1:11" ht="15.75" x14ac:dyDescent="0.25">
      <c r="A3" s="2" t="s">
        <v>86</v>
      </c>
      <c r="B3" s="16">
        <v>1000</v>
      </c>
      <c r="C3" s="17">
        <v>10000</v>
      </c>
      <c r="D3" s="17">
        <v>20</v>
      </c>
      <c r="E3" s="18">
        <v>50000</v>
      </c>
      <c r="F3" s="19" t="s">
        <v>5</v>
      </c>
      <c r="G3" s="22">
        <v>8</v>
      </c>
      <c r="H3" s="65">
        <f>minPublicNodeConnections</f>
        <v>80</v>
      </c>
      <c r="I3" s="20">
        <v>7</v>
      </c>
      <c r="J3" s="21">
        <v>0.75</v>
      </c>
      <c r="K3" s="21">
        <v>0.1</v>
      </c>
    </row>
    <row r="4" spans="1:11" ht="15.75" x14ac:dyDescent="0.25">
      <c r="A4" s="2" t="s">
        <v>85</v>
      </c>
      <c r="B4" s="16">
        <v>50</v>
      </c>
      <c r="C4" s="17">
        <v>2000</v>
      </c>
      <c r="D4" s="17">
        <v>8</v>
      </c>
      <c r="E4" s="18">
        <v>5000</v>
      </c>
      <c r="F4" s="19" t="s">
        <v>5</v>
      </c>
      <c r="G4" s="22">
        <v>8</v>
      </c>
      <c r="H4" s="62">
        <f>($G$5*0.9+$G$4*0.09+$G$3*0.01)/publicNodePercent</f>
        <v>80</v>
      </c>
      <c r="I4" s="20">
        <v>7</v>
      </c>
      <c r="J4" s="21">
        <v>0.5</v>
      </c>
      <c r="K4" s="21">
        <v>0.1</v>
      </c>
    </row>
    <row r="5" spans="1:11" ht="15.75" x14ac:dyDescent="0.25">
      <c r="A5" s="2" t="s">
        <v>84</v>
      </c>
      <c r="B5" s="16">
        <v>1</v>
      </c>
      <c r="C5" s="17">
        <v>128</v>
      </c>
      <c r="D5" s="17">
        <v>2</v>
      </c>
      <c r="E5" s="18">
        <v>200</v>
      </c>
      <c r="F5" s="19" t="s">
        <v>5</v>
      </c>
      <c r="G5" s="22">
        <v>8</v>
      </c>
      <c r="H5" s="22">
        <v>0</v>
      </c>
      <c r="I5" s="20">
        <v>7</v>
      </c>
      <c r="J5" s="21">
        <v>0.75</v>
      </c>
      <c r="K5" s="21">
        <v>0.1</v>
      </c>
    </row>
    <row r="6" spans="1:11" x14ac:dyDescent="0.25">
      <c r="A6" s="2" t="s">
        <v>9</v>
      </c>
      <c r="B6" s="21">
        <v>0.25</v>
      </c>
      <c r="C6" s="21">
        <v>0.25</v>
      </c>
      <c r="D6" s="21">
        <v>0.15</v>
      </c>
      <c r="E6" s="21">
        <v>0.17</v>
      </c>
    </row>
    <row r="8" spans="1:11" x14ac:dyDescent="0.25">
      <c r="F8" s="1" t="s">
        <v>82</v>
      </c>
    </row>
    <row r="9" spans="1:11" x14ac:dyDescent="0.25">
      <c r="A9" t="s">
        <v>12</v>
      </c>
      <c r="B9" s="4" t="s">
        <v>13</v>
      </c>
      <c r="C9" s="1" t="s">
        <v>19</v>
      </c>
      <c r="D9" s="1" t="s">
        <v>14</v>
      </c>
      <c r="E9" s="1" t="s">
        <v>20</v>
      </c>
      <c r="F9" s="1" t="s">
        <v>83</v>
      </c>
    </row>
    <row r="10" spans="1:11" x14ac:dyDescent="0.25">
      <c r="B10" s="22">
        <f>365*24*60*60</f>
        <v>31536000</v>
      </c>
      <c r="C10" s="22">
        <f>10*60</f>
        <v>600</v>
      </c>
      <c r="D10" s="22">
        <f>1/(8*1000)</f>
        <v>1.25E-4</v>
      </c>
      <c r="E10" s="22">
        <f>POWER(10,6)</f>
        <v>1000000</v>
      </c>
      <c r="F10" s="23">
        <v>475</v>
      </c>
    </row>
    <row r="12" spans="1:11" x14ac:dyDescent="0.25">
      <c r="D12" s="1" t="s">
        <v>41</v>
      </c>
      <c r="E12" s="1" t="s">
        <v>34</v>
      </c>
      <c r="H12" s="1" t="s">
        <v>78</v>
      </c>
      <c r="I12" s="1"/>
    </row>
    <row r="13" spans="1:11" x14ac:dyDescent="0.25">
      <c r="B13" s="1" t="s">
        <v>23</v>
      </c>
      <c r="C13" s="1" t="s">
        <v>25</v>
      </c>
      <c r="D13" s="1" t="s">
        <v>62</v>
      </c>
      <c r="E13" s="1" t="s">
        <v>42</v>
      </c>
      <c r="F13" s="1" t="s">
        <v>76</v>
      </c>
      <c r="G13" s="1" t="s">
        <v>77</v>
      </c>
      <c r="H13" s="1" t="s">
        <v>79</v>
      </c>
      <c r="I13" s="1"/>
    </row>
    <row r="14" spans="1:11" x14ac:dyDescent="0.25">
      <c r="B14" s="1" t="s">
        <v>24</v>
      </c>
      <c r="C14" s="1" t="s">
        <v>26</v>
      </c>
      <c r="D14" s="1" t="s">
        <v>61</v>
      </c>
      <c r="E14" s="1" t="s">
        <v>43</v>
      </c>
      <c r="F14" s="1" t="s">
        <v>60</v>
      </c>
      <c r="G14" s="1" t="s">
        <v>60</v>
      </c>
      <c r="H14" s="48" t="s">
        <v>63</v>
      </c>
      <c r="I14" s="1"/>
    </row>
    <row r="15" spans="1:11" x14ac:dyDescent="0.25">
      <c r="B15" s="21">
        <v>0.9</v>
      </c>
      <c r="C15" s="24">
        <f>7*30</f>
        <v>210</v>
      </c>
      <c r="D15" s="41">
        <f>0.45/utxoSize/utxoExpand</f>
        <v>2.3437499999999997E-2</v>
      </c>
      <c r="E15" s="21">
        <v>6.4</v>
      </c>
      <c r="F15" s="21">
        <v>0.1</v>
      </c>
      <c r="G15" s="21">
        <v>0.9</v>
      </c>
      <c r="H15" s="49">
        <v>36</v>
      </c>
    </row>
    <row r="17" spans="1:6" x14ac:dyDescent="0.25">
      <c r="B17" s="1" t="s">
        <v>52</v>
      </c>
      <c r="C17" s="1" t="s">
        <v>53</v>
      </c>
      <c r="D17" s="1" t="s">
        <v>37</v>
      </c>
      <c r="E17" s="1" t="s">
        <v>34</v>
      </c>
    </row>
    <row r="18" spans="1:6" x14ac:dyDescent="0.25">
      <c r="B18" s="1" t="s">
        <v>73</v>
      </c>
      <c r="C18" s="1" t="s">
        <v>74</v>
      </c>
      <c r="D18" s="1" t="s">
        <v>38</v>
      </c>
      <c r="E18" s="1" t="s">
        <v>35</v>
      </c>
    </row>
    <row r="19" spans="1:6" x14ac:dyDescent="0.25">
      <c r="B19" s="35">
        <v>210</v>
      </c>
      <c r="C19" s="59">
        <v>2000</v>
      </c>
      <c r="D19" s="35">
        <v>3</v>
      </c>
      <c r="E19" s="34">
        <v>0.5</v>
      </c>
    </row>
    <row r="21" spans="1:6" s="108" customFormat="1" x14ac:dyDescent="0.25">
      <c r="A21" s="11" t="s">
        <v>129</v>
      </c>
    </row>
    <row r="22" spans="1:6" s="108" customFormat="1" x14ac:dyDescent="0.25"/>
    <row r="23" spans="1:6" s="108" customFormat="1" x14ac:dyDescent="0.25">
      <c r="A23" s="109" t="s">
        <v>8</v>
      </c>
      <c r="B23" s="109" t="s">
        <v>73</v>
      </c>
      <c r="C23" s="109" t="s">
        <v>36</v>
      </c>
    </row>
    <row r="24" spans="1:6" s="108" customFormat="1" x14ac:dyDescent="0.25">
      <c r="A24" s="108">
        <v>0</v>
      </c>
      <c r="B24" s="104">
        <f t="shared" ref="B24:B39" si="0">curChainSize+A24*curMaxBlocksize*(secondsPerYear/secondsPerBlock)/KBperGB</f>
        <v>210</v>
      </c>
      <c r="C24" s="102">
        <f xml:space="preserve"> utxoSize</f>
        <v>3</v>
      </c>
    </row>
    <row r="25" spans="1:6" s="108" customFormat="1" x14ac:dyDescent="0.25">
      <c r="A25" s="108">
        <v>1</v>
      </c>
      <c r="B25" s="104">
        <f t="shared" si="0"/>
        <v>315.12</v>
      </c>
      <c r="C25" s="104">
        <f xml:space="preserve"> C24 + MIN(C24*utxoGrowth, curMaxBlocksize*secondsPerYear/secondsPerBlock/KBperGB)</f>
        <v>4.5</v>
      </c>
      <c r="F25" s="108">
        <f>735*1000/avgTrSize/secondsPerBlock</f>
        <v>2.5789473684210527</v>
      </c>
    </row>
    <row r="26" spans="1:6" s="108" customFormat="1" x14ac:dyDescent="0.25">
      <c r="A26" s="108">
        <v>2</v>
      </c>
      <c r="B26" s="104">
        <f t="shared" si="0"/>
        <v>420.24</v>
      </c>
      <c r="C26" s="104">
        <f xml:space="preserve"> C25 + MIN(C25*utxoGrowth, curMaxBlocksize*secondsPerYear/secondsPerBlock/KBperGB)</f>
        <v>6.75</v>
      </c>
    </row>
    <row r="27" spans="1:6" s="108" customFormat="1" x14ac:dyDescent="0.25">
      <c r="A27" s="108">
        <v>3</v>
      </c>
      <c r="B27" s="104">
        <f t="shared" si="0"/>
        <v>525.36</v>
      </c>
      <c r="C27" s="104">
        <f t="shared" ref="C27:C39" si="1" xml:space="preserve"> C26 + MIN(C26*utxoGrowth, curMaxBlocksize*secondsPerYear/secondsPerBlock/KBperGB)</f>
        <v>10.125</v>
      </c>
    </row>
    <row r="28" spans="1:6" s="108" customFormat="1" x14ac:dyDescent="0.25">
      <c r="A28" s="108">
        <v>4</v>
      </c>
      <c r="B28" s="104">
        <f t="shared" si="0"/>
        <v>630.48</v>
      </c>
      <c r="C28" s="104">
        <f t="shared" si="1"/>
        <v>15.1875</v>
      </c>
    </row>
    <row r="29" spans="1:6" s="108" customFormat="1" x14ac:dyDescent="0.25">
      <c r="A29" s="108">
        <v>5</v>
      </c>
      <c r="B29" s="104">
        <f t="shared" si="0"/>
        <v>735.6</v>
      </c>
      <c r="C29" s="104">
        <f t="shared" si="1"/>
        <v>22.78125</v>
      </c>
    </row>
    <row r="30" spans="1:6" s="108" customFormat="1" x14ac:dyDescent="0.25">
      <c r="A30" s="108">
        <v>6</v>
      </c>
      <c r="B30" s="104">
        <f t="shared" si="0"/>
        <v>840.72</v>
      </c>
      <c r="C30" s="104">
        <f t="shared" si="1"/>
        <v>34.171875</v>
      </c>
    </row>
    <row r="31" spans="1:6" s="108" customFormat="1" x14ac:dyDescent="0.25">
      <c r="A31" s="108">
        <v>7</v>
      </c>
      <c r="B31" s="104">
        <f t="shared" si="0"/>
        <v>945.84</v>
      </c>
      <c r="C31" s="104">
        <f t="shared" si="1"/>
        <v>51.2578125</v>
      </c>
    </row>
    <row r="32" spans="1:6" s="108" customFormat="1" x14ac:dyDescent="0.25">
      <c r="A32" s="108">
        <v>8</v>
      </c>
      <c r="B32" s="104">
        <f t="shared" si="0"/>
        <v>1050.96</v>
      </c>
      <c r="C32" s="104">
        <f t="shared" si="1"/>
        <v>76.88671875</v>
      </c>
    </row>
    <row r="33" spans="1:11" s="108" customFormat="1" x14ac:dyDescent="0.25">
      <c r="A33" s="108">
        <v>9</v>
      </c>
      <c r="B33" s="104">
        <f t="shared" si="0"/>
        <v>1156.08</v>
      </c>
      <c r="C33" s="104">
        <f t="shared" si="1"/>
        <v>115.330078125</v>
      </c>
    </row>
    <row r="34" spans="1:11" s="108" customFormat="1" x14ac:dyDescent="0.25">
      <c r="A34" s="108">
        <v>10</v>
      </c>
      <c r="B34" s="104">
        <f t="shared" si="0"/>
        <v>1261.2</v>
      </c>
      <c r="C34" s="104">
        <f t="shared" si="1"/>
        <v>172.9951171875</v>
      </c>
    </row>
    <row r="35" spans="1:11" s="108" customFormat="1" x14ac:dyDescent="0.25">
      <c r="A35" s="108">
        <v>11</v>
      </c>
      <c r="B35" s="104">
        <f t="shared" si="0"/>
        <v>1366.32</v>
      </c>
      <c r="C35" s="104">
        <f t="shared" si="1"/>
        <v>259.49267578125</v>
      </c>
    </row>
    <row r="36" spans="1:11" s="108" customFormat="1" x14ac:dyDescent="0.25">
      <c r="A36" s="108">
        <v>12</v>
      </c>
      <c r="B36" s="104">
        <f t="shared" si="0"/>
        <v>1471.44</v>
      </c>
      <c r="C36" s="104">
        <f t="shared" si="1"/>
        <v>364.61267578125</v>
      </c>
    </row>
    <row r="37" spans="1:11" s="108" customFormat="1" x14ac:dyDescent="0.25">
      <c r="A37" s="108">
        <v>13</v>
      </c>
      <c r="B37" s="104">
        <f t="shared" si="0"/>
        <v>1576.56</v>
      </c>
      <c r="C37" s="104">
        <f t="shared" si="1"/>
        <v>469.73267578125001</v>
      </c>
    </row>
    <row r="38" spans="1:11" s="108" customFormat="1" x14ac:dyDescent="0.25">
      <c r="A38" s="108">
        <v>14</v>
      </c>
      <c r="B38" s="104">
        <f t="shared" si="0"/>
        <v>1681.68</v>
      </c>
      <c r="C38" s="104">
        <f t="shared" si="1"/>
        <v>574.85267578125001</v>
      </c>
    </row>
    <row r="39" spans="1:11" s="108" customFormat="1" x14ac:dyDescent="0.25">
      <c r="A39" s="108">
        <v>15</v>
      </c>
      <c r="B39" s="104">
        <f t="shared" si="0"/>
        <v>1786.8</v>
      </c>
      <c r="C39" s="104">
        <f t="shared" si="1"/>
        <v>679.97267578125002</v>
      </c>
    </row>
    <row r="40" spans="1:11" s="108" customFormat="1" x14ac:dyDescent="0.25"/>
    <row r="41" spans="1:11" x14ac:dyDescent="0.25">
      <c r="A41" s="11" t="s">
        <v>6</v>
      </c>
    </row>
    <row r="42" spans="1:11" x14ac:dyDescent="0.25">
      <c r="A42" s="11"/>
      <c r="G42" s="39" t="s">
        <v>77</v>
      </c>
      <c r="H42" s="39" t="s">
        <v>76</v>
      </c>
    </row>
    <row r="43" spans="1:11" x14ac:dyDescent="0.25">
      <c r="A43" s="2" t="s">
        <v>7</v>
      </c>
      <c r="D43" s="39" t="s">
        <v>2</v>
      </c>
      <c r="E43" s="39" t="s">
        <v>3</v>
      </c>
      <c r="G43" s="39" t="s">
        <v>58</v>
      </c>
      <c r="H43" s="39" t="s">
        <v>58</v>
      </c>
    </row>
    <row r="44" spans="1:11" ht="15.75" x14ac:dyDescent="0.25">
      <c r="A44" s="2" t="s">
        <v>84</v>
      </c>
      <c r="B44" s="16">
        <v>1</v>
      </c>
      <c r="C44" s="17">
        <v>128</v>
      </c>
      <c r="D44" s="17">
        <v>2</v>
      </c>
      <c r="E44" s="18">
        <v>200</v>
      </c>
      <c r="F44" s="19" t="s">
        <v>5</v>
      </c>
      <c r="G44" s="22">
        <v>8</v>
      </c>
      <c r="H44" s="22">
        <v>0</v>
      </c>
      <c r="I44" s="20">
        <v>7</v>
      </c>
      <c r="J44" s="21">
        <v>0.75</v>
      </c>
      <c r="K44" s="21">
        <v>0.1</v>
      </c>
    </row>
    <row r="46" spans="1:11" x14ac:dyDescent="0.25">
      <c r="B46" s="1" t="s">
        <v>32</v>
      </c>
    </row>
    <row r="47" spans="1:11" x14ac:dyDescent="0.25">
      <c r="A47" s="4" t="s">
        <v>8</v>
      </c>
      <c r="B47" s="1" t="s">
        <v>73</v>
      </c>
      <c r="C47" s="1" t="s">
        <v>15</v>
      </c>
      <c r="D47" s="1" t="s">
        <v>18</v>
      </c>
      <c r="E47" s="1" t="s">
        <v>21</v>
      </c>
      <c r="F47" s="1"/>
    </row>
    <row r="48" spans="1:11" x14ac:dyDescent="0.25">
      <c r="A48">
        <v>0</v>
      </c>
      <c r="B48" s="7">
        <f t="shared" ref="B48:B63" si="2">bandwidth1*resourcePercent*mbToGB*secondsPerYear*POWER(1+bandwidthGrowth,A48)*syncTime1/365</f>
        <v>56.7</v>
      </c>
      <c r="C48" s="8">
        <f t="shared" ref="C48:C63" si="3">bandwidth1*resourcePercent*LN(1+bandwidthGrowth)*mbToGB*secondsPerYear*POWER(1+bandwidthGrowth,A48)*syncTime1/365</f>
        <v>12.652239359515697</v>
      </c>
      <c r="D48" s="9">
        <f t="shared" ref="D48:D63" si="4">C48*(secondsPerBlock/secondsPerYear)*KBperGB</f>
        <v>240.71992693142499</v>
      </c>
      <c r="E48" s="10">
        <f t="shared" ref="E48:E63" si="5">D48*1000/(secondsPerBlock*avgTrSize)</f>
        <v>0.8446313225664035</v>
      </c>
      <c r="F48" s="33"/>
    </row>
    <row r="49" spans="1:6" x14ac:dyDescent="0.25">
      <c r="A49">
        <v>1</v>
      </c>
      <c r="B49" s="7">
        <f t="shared" si="2"/>
        <v>70.875</v>
      </c>
      <c r="C49" s="8">
        <f t="shared" si="3"/>
        <v>15.815299199394618</v>
      </c>
      <c r="D49" s="9">
        <f t="shared" si="4"/>
        <v>300.89990866428116</v>
      </c>
      <c r="E49" s="10">
        <f t="shared" si="5"/>
        <v>1.0557891532080039</v>
      </c>
      <c r="F49" s="7"/>
    </row>
    <row r="50" spans="1:6" x14ac:dyDescent="0.25">
      <c r="A50">
        <v>2</v>
      </c>
      <c r="B50" s="7">
        <f t="shared" si="2"/>
        <v>88.59375</v>
      </c>
      <c r="C50" s="8">
        <f t="shared" si="3"/>
        <v>19.769123999243277</v>
      </c>
      <c r="D50" s="9">
        <f t="shared" si="4"/>
        <v>376.12488583035162</v>
      </c>
      <c r="E50" s="10">
        <f t="shared" si="5"/>
        <v>1.3197364415100057</v>
      </c>
      <c r="F50" s="7"/>
    </row>
    <row r="51" spans="1:6" x14ac:dyDescent="0.25">
      <c r="A51">
        <v>3</v>
      </c>
      <c r="B51" s="7">
        <f t="shared" si="2"/>
        <v>110.7421875</v>
      </c>
      <c r="C51" s="8">
        <f t="shared" si="3"/>
        <v>24.711404999054093</v>
      </c>
      <c r="D51" s="9">
        <f t="shared" si="4"/>
        <v>470.15610728793939</v>
      </c>
      <c r="E51" s="10">
        <f t="shared" si="5"/>
        <v>1.6496705518875068</v>
      </c>
      <c r="F51" s="7"/>
    </row>
    <row r="52" spans="1:6" x14ac:dyDescent="0.25">
      <c r="A52">
        <v>4</v>
      </c>
      <c r="B52" s="7">
        <f t="shared" si="2"/>
        <v>138.427734375</v>
      </c>
      <c r="C52" s="8">
        <f t="shared" si="3"/>
        <v>30.88925624881762</v>
      </c>
      <c r="D52" s="9">
        <f t="shared" si="4"/>
        <v>587.69513410992431</v>
      </c>
      <c r="E52" s="10">
        <f t="shared" si="5"/>
        <v>2.0620881898593835</v>
      </c>
      <c r="F52" s="7"/>
    </row>
    <row r="53" spans="1:6" x14ac:dyDescent="0.25">
      <c r="A53">
        <v>5</v>
      </c>
      <c r="B53" s="7">
        <f t="shared" si="2"/>
        <v>173.03466796875</v>
      </c>
      <c r="C53" s="8">
        <f t="shared" si="3"/>
        <v>38.611570311022021</v>
      </c>
      <c r="D53" s="9">
        <f t="shared" si="4"/>
        <v>734.61891763740527</v>
      </c>
      <c r="E53" s="10">
        <f t="shared" si="5"/>
        <v>2.5776102373242287</v>
      </c>
      <c r="F53" s="7"/>
    </row>
    <row r="54" spans="1:6" x14ac:dyDescent="0.25">
      <c r="A54">
        <v>6</v>
      </c>
      <c r="B54" s="14">
        <f t="shared" si="2"/>
        <v>216.2933349609375</v>
      </c>
      <c r="C54" s="8">
        <f t="shared" si="3"/>
        <v>48.264462888777523</v>
      </c>
      <c r="D54" s="9">
        <f t="shared" si="4"/>
        <v>918.27364704675665</v>
      </c>
      <c r="E54" s="10">
        <f t="shared" si="5"/>
        <v>3.2220127966552865</v>
      </c>
      <c r="F54" s="7"/>
    </row>
    <row r="55" spans="1:6" x14ac:dyDescent="0.25">
      <c r="A55">
        <v>7</v>
      </c>
      <c r="B55" s="7">
        <f t="shared" si="2"/>
        <v>270.36666870117187</v>
      </c>
      <c r="C55" s="8">
        <f t="shared" si="3"/>
        <v>60.330578610971912</v>
      </c>
      <c r="D55" s="9">
        <f t="shared" si="4"/>
        <v>1147.8420588084459</v>
      </c>
      <c r="E55" s="10">
        <f t="shared" si="5"/>
        <v>4.0275159958191082</v>
      </c>
      <c r="F55" s="7"/>
    </row>
    <row r="56" spans="1:6" x14ac:dyDescent="0.25">
      <c r="A56">
        <v>8</v>
      </c>
      <c r="B56" s="7">
        <f t="shared" si="2"/>
        <v>337.95833587646484</v>
      </c>
      <c r="C56" s="8">
        <f t="shared" si="3"/>
        <v>75.413223263714883</v>
      </c>
      <c r="D56" s="9">
        <f t="shared" si="4"/>
        <v>1434.8025735105573</v>
      </c>
      <c r="E56" s="10">
        <f t="shared" si="5"/>
        <v>5.0343949947738844</v>
      </c>
      <c r="F56" s="7"/>
    </row>
    <row r="57" spans="1:6" x14ac:dyDescent="0.25">
      <c r="A57">
        <v>9</v>
      </c>
      <c r="B57" s="7">
        <f t="shared" si="2"/>
        <v>422.44791984558105</v>
      </c>
      <c r="C57" s="8">
        <f t="shared" si="3"/>
        <v>94.266529079643618</v>
      </c>
      <c r="D57" s="9">
        <f t="shared" si="4"/>
        <v>1793.5032168881967</v>
      </c>
      <c r="E57" s="10">
        <f t="shared" si="5"/>
        <v>6.2929937434673571</v>
      </c>
      <c r="F57" s="7"/>
    </row>
    <row r="58" spans="1:6" x14ac:dyDescent="0.25">
      <c r="A58">
        <v>10</v>
      </c>
      <c r="B58" s="7">
        <f t="shared" si="2"/>
        <v>528.05989980697632</v>
      </c>
      <c r="C58" s="8">
        <f t="shared" si="3"/>
        <v>117.83316134955453</v>
      </c>
      <c r="D58" s="9">
        <f t="shared" si="4"/>
        <v>2241.8790211102464</v>
      </c>
      <c r="E58" s="10">
        <f t="shared" si="5"/>
        <v>7.8662421793341979</v>
      </c>
      <c r="F58" s="7"/>
    </row>
    <row r="59" spans="1:6" x14ac:dyDescent="0.25">
      <c r="A59">
        <v>11</v>
      </c>
      <c r="B59" s="7">
        <f t="shared" si="2"/>
        <v>660.0748747587204</v>
      </c>
      <c r="C59" s="8">
        <f t="shared" si="3"/>
        <v>147.29145168694313</v>
      </c>
      <c r="D59" s="9">
        <f t="shared" si="4"/>
        <v>2802.348776387807</v>
      </c>
      <c r="E59" s="10">
        <f t="shared" si="5"/>
        <v>9.8328027241677436</v>
      </c>
      <c r="F59" s="7"/>
    </row>
    <row r="60" spans="1:6" x14ac:dyDescent="0.25">
      <c r="A60">
        <v>12</v>
      </c>
      <c r="B60" s="7">
        <f t="shared" si="2"/>
        <v>825.0935934484005</v>
      </c>
      <c r="C60" s="8">
        <f t="shared" si="3"/>
        <v>184.11431460867891</v>
      </c>
      <c r="D60" s="9">
        <f t="shared" si="4"/>
        <v>3502.9359704847589</v>
      </c>
      <c r="E60" s="10">
        <f t="shared" si="5"/>
        <v>12.291003405209679</v>
      </c>
      <c r="F60" s="7"/>
    </row>
    <row r="61" spans="1:6" x14ac:dyDescent="0.25">
      <c r="A61">
        <v>13</v>
      </c>
      <c r="B61" s="7">
        <f t="shared" si="2"/>
        <v>1031.3669918105006</v>
      </c>
      <c r="C61" s="8">
        <f t="shared" si="3"/>
        <v>230.14289326084864</v>
      </c>
      <c r="D61" s="9">
        <f t="shared" si="4"/>
        <v>4378.6699631059482</v>
      </c>
      <c r="E61" s="10">
        <f t="shared" si="5"/>
        <v>15.363754256512101</v>
      </c>
      <c r="F61" s="7"/>
    </row>
    <row r="62" spans="1:6" x14ac:dyDescent="0.25">
      <c r="A62">
        <v>14</v>
      </c>
      <c r="B62" s="7">
        <f t="shared" si="2"/>
        <v>1289.2087397631258</v>
      </c>
      <c r="C62" s="8">
        <f t="shared" si="3"/>
        <v>287.67861657606079</v>
      </c>
      <c r="D62" s="9">
        <f t="shared" si="4"/>
        <v>5473.3374538824364</v>
      </c>
      <c r="E62" s="10">
        <f t="shared" si="5"/>
        <v>19.204692820640126</v>
      </c>
      <c r="F62" s="7"/>
    </row>
    <row r="63" spans="1:6" x14ac:dyDescent="0.25">
      <c r="A63">
        <v>15</v>
      </c>
      <c r="B63" s="7">
        <f t="shared" si="2"/>
        <v>1611.5109247039072</v>
      </c>
      <c r="C63" s="8">
        <f t="shared" si="3"/>
        <v>359.59827072007602</v>
      </c>
      <c r="D63" s="9">
        <f t="shared" si="4"/>
        <v>6841.6718173530453</v>
      </c>
      <c r="E63" s="10">
        <f t="shared" si="5"/>
        <v>24.005866025800159</v>
      </c>
      <c r="F63" s="7"/>
    </row>
    <row r="64" spans="1:6" x14ac:dyDescent="0.25">
      <c r="F64" s="33"/>
    </row>
    <row r="65" spans="1:11" x14ac:dyDescent="0.25">
      <c r="A65" s="11" t="s">
        <v>22</v>
      </c>
    </row>
    <row r="66" spans="1:11" x14ac:dyDescent="0.25">
      <c r="A66" s="1"/>
      <c r="B66" s="2"/>
      <c r="G66" s="39" t="s">
        <v>77</v>
      </c>
      <c r="H66" s="39" t="s">
        <v>76</v>
      </c>
    </row>
    <row r="67" spans="1:11" x14ac:dyDescent="0.25">
      <c r="A67" s="2" t="s">
        <v>7</v>
      </c>
      <c r="C67" s="39" t="s">
        <v>2</v>
      </c>
      <c r="D67" s="39" t="s">
        <v>3</v>
      </c>
      <c r="G67" s="39" t="s">
        <v>58</v>
      </c>
      <c r="H67" s="39" t="s">
        <v>58</v>
      </c>
    </row>
    <row r="68" spans="1:11" ht="15.75" x14ac:dyDescent="0.25">
      <c r="A68" s="2" t="s">
        <v>84</v>
      </c>
      <c r="B68" s="16">
        <v>1</v>
      </c>
      <c r="C68" s="17">
        <v>128</v>
      </c>
      <c r="D68" s="17">
        <v>2</v>
      </c>
      <c r="E68" s="18">
        <v>200</v>
      </c>
      <c r="F68" s="19" t="s">
        <v>5</v>
      </c>
      <c r="G68" s="22">
        <v>8</v>
      </c>
      <c r="H68" s="22">
        <v>0</v>
      </c>
      <c r="I68" s="20">
        <v>7</v>
      </c>
      <c r="J68" s="21">
        <v>0.75</v>
      </c>
      <c r="K68" s="21">
        <v>0.1</v>
      </c>
    </row>
    <row r="70" spans="1:11" x14ac:dyDescent="0.25">
      <c r="B70" s="1" t="s">
        <v>32</v>
      </c>
    </row>
    <row r="71" spans="1:11" x14ac:dyDescent="0.25">
      <c r="A71" s="4" t="s">
        <v>8</v>
      </c>
      <c r="B71" s="1" t="s">
        <v>29</v>
      </c>
      <c r="C71" s="1" t="s">
        <v>15</v>
      </c>
      <c r="D71" s="1" t="s">
        <v>18</v>
      </c>
      <c r="E71" s="1" t="s">
        <v>21</v>
      </c>
      <c r="F71" s="5"/>
    </row>
    <row r="72" spans="1:11" x14ac:dyDescent="0.25">
      <c r="A72">
        <v>0</v>
      </c>
      <c r="B72" s="12">
        <f t="shared" ref="B72:B87" si="6">throughput2*resourcePercent2*secondsPerYear*POWER(1+cpuGrowth,A72)*syncTime2/365/1000/1000</f>
        <v>90.72</v>
      </c>
      <c r="C72" s="25">
        <f t="shared" ref="C72:C87" si="7">throughput2*resourcePercent2*secondsPerYear*LN(1+cpuGrowth)*POWER(1+cpuGrowth,A72)*syncTime2/365/1000/1000</f>
        <v>14.243380092012782</v>
      </c>
      <c r="D72" s="13">
        <f t="shared" ref="D72:D87" si="8">E72*secondsPerBlock*avgTrSize/1000</f>
        <v>128.72156666107443</v>
      </c>
      <c r="E72" s="6">
        <f t="shared" ref="E72:E87" si="9">C72*1000*1000/secondsPerYear</f>
        <v>0.45165461986341898</v>
      </c>
      <c r="F72" s="3"/>
    </row>
    <row r="73" spans="1:11" x14ac:dyDescent="0.25">
      <c r="A73">
        <v>1</v>
      </c>
      <c r="B73" s="12">
        <f t="shared" si="6"/>
        <v>106.14239999999999</v>
      </c>
      <c r="C73" s="25">
        <f t="shared" si="7"/>
        <v>16.664754707654954</v>
      </c>
      <c r="D73" s="13">
        <f t="shared" si="8"/>
        <v>150.60423299345706</v>
      </c>
      <c r="E73" s="6">
        <f t="shared" si="9"/>
        <v>0.52843590524020023</v>
      </c>
      <c r="F73" s="3"/>
    </row>
    <row r="74" spans="1:11" x14ac:dyDescent="0.25">
      <c r="A74">
        <v>2</v>
      </c>
      <c r="B74" s="12">
        <f t="shared" si="6"/>
        <v>124.18660799999998</v>
      </c>
      <c r="C74" s="25">
        <f t="shared" si="7"/>
        <v>19.497763007956291</v>
      </c>
      <c r="D74" s="13">
        <f t="shared" si="8"/>
        <v>176.20695260234473</v>
      </c>
      <c r="E74" s="6">
        <f t="shared" si="9"/>
        <v>0.61827000913103414</v>
      </c>
      <c r="F74" s="3"/>
    </row>
    <row r="75" spans="1:11" x14ac:dyDescent="0.25">
      <c r="A75">
        <v>3</v>
      </c>
      <c r="B75" s="12">
        <f t="shared" si="6"/>
        <v>145.29833135999999</v>
      </c>
      <c r="C75" s="25">
        <f t="shared" si="7"/>
        <v>22.812382719308864</v>
      </c>
      <c r="D75" s="13">
        <f t="shared" si="8"/>
        <v>206.16213454474334</v>
      </c>
      <c r="E75" s="6">
        <f t="shared" si="9"/>
        <v>0.72337591068330998</v>
      </c>
      <c r="F75" s="3"/>
    </row>
    <row r="76" spans="1:11" x14ac:dyDescent="0.25">
      <c r="A76">
        <v>4</v>
      </c>
      <c r="B76" s="12">
        <f t="shared" si="6"/>
        <v>169.99904769119996</v>
      </c>
      <c r="C76" s="25">
        <f t="shared" si="7"/>
        <v>26.690487781591369</v>
      </c>
      <c r="D76" s="13">
        <f t="shared" si="8"/>
        <v>241.20969741734967</v>
      </c>
      <c r="E76" s="6">
        <f t="shared" si="9"/>
        <v>0.84634981549947252</v>
      </c>
      <c r="F76" s="3"/>
    </row>
    <row r="77" spans="1:11" x14ac:dyDescent="0.25">
      <c r="A77">
        <v>5</v>
      </c>
      <c r="B77" s="12">
        <f t="shared" si="6"/>
        <v>198.8988857987039</v>
      </c>
      <c r="C77" s="25">
        <f t="shared" si="7"/>
        <v>31.2278707044619</v>
      </c>
      <c r="D77" s="13">
        <f t="shared" si="8"/>
        <v>282.21534597829907</v>
      </c>
      <c r="E77" s="6">
        <f t="shared" si="9"/>
        <v>0.99022928413438294</v>
      </c>
      <c r="F77" s="3"/>
    </row>
    <row r="78" spans="1:11" x14ac:dyDescent="0.25">
      <c r="A78">
        <v>6</v>
      </c>
      <c r="B78" s="12">
        <f t="shared" si="6"/>
        <v>232.71169638448359</v>
      </c>
      <c r="C78" s="25">
        <f t="shared" si="7"/>
        <v>36.536608724220415</v>
      </c>
      <c r="D78" s="13">
        <f t="shared" si="8"/>
        <v>330.1919547946099</v>
      </c>
      <c r="E78" s="6">
        <f t="shared" si="9"/>
        <v>1.1585682624372278</v>
      </c>
      <c r="F78" s="3"/>
    </row>
    <row r="79" spans="1:11" x14ac:dyDescent="0.25">
      <c r="A79">
        <v>7</v>
      </c>
      <c r="B79" s="12">
        <f t="shared" si="6"/>
        <v>272.27268476984574</v>
      </c>
      <c r="C79" s="25">
        <f t="shared" si="7"/>
        <v>42.747832207337886</v>
      </c>
      <c r="D79" s="13">
        <f t="shared" si="8"/>
        <v>386.3245871096936</v>
      </c>
      <c r="E79" s="6">
        <f t="shared" si="9"/>
        <v>1.3555248670515565</v>
      </c>
      <c r="F79" s="3"/>
    </row>
    <row r="80" spans="1:11" x14ac:dyDescent="0.25">
      <c r="A80">
        <v>8</v>
      </c>
      <c r="B80" s="12">
        <f t="shared" si="6"/>
        <v>318.55904118071953</v>
      </c>
      <c r="C80" s="25">
        <f t="shared" si="7"/>
        <v>50.014963682585318</v>
      </c>
      <c r="D80" s="13">
        <f t="shared" si="8"/>
        <v>451.99976691834138</v>
      </c>
      <c r="E80" s="6">
        <f t="shared" si="9"/>
        <v>1.5859640944503206</v>
      </c>
      <c r="F80" s="3"/>
    </row>
    <row r="81" spans="1:11" x14ac:dyDescent="0.25">
      <c r="A81">
        <v>9</v>
      </c>
      <c r="B81" s="12">
        <f t="shared" si="6"/>
        <v>372.71407818144172</v>
      </c>
      <c r="C81" s="25">
        <f t="shared" si="7"/>
        <v>58.517507508624817</v>
      </c>
      <c r="D81" s="13">
        <f t="shared" si="8"/>
        <v>528.83972729445941</v>
      </c>
      <c r="E81" s="6">
        <f t="shared" si="9"/>
        <v>1.8555779905068752</v>
      </c>
      <c r="F81" s="3"/>
    </row>
    <row r="82" spans="1:11" x14ac:dyDescent="0.25">
      <c r="A82">
        <v>10</v>
      </c>
      <c r="B82" s="15">
        <f t="shared" si="6"/>
        <v>436.07547147228695</v>
      </c>
      <c r="C82" s="25">
        <f t="shared" si="7"/>
        <v>68.465483785091038</v>
      </c>
      <c r="D82" s="13">
        <f t="shared" si="8"/>
        <v>618.74248093451774</v>
      </c>
      <c r="E82" s="6">
        <f t="shared" si="9"/>
        <v>2.1710262488930443</v>
      </c>
      <c r="F82" s="3"/>
    </row>
    <row r="83" spans="1:11" x14ac:dyDescent="0.25">
      <c r="A83">
        <v>11</v>
      </c>
      <c r="B83" s="12">
        <f t="shared" si="6"/>
        <v>510.20830162257562</v>
      </c>
      <c r="C83" s="25">
        <f t="shared" si="7"/>
        <v>80.104616028556507</v>
      </c>
      <c r="D83" s="13">
        <f t="shared" si="8"/>
        <v>723.9287026933855</v>
      </c>
      <c r="E83" s="6">
        <f t="shared" si="9"/>
        <v>2.5401007112048615</v>
      </c>
      <c r="F83" s="3"/>
    </row>
    <row r="84" spans="1:11" x14ac:dyDescent="0.25">
      <c r="A84">
        <v>12</v>
      </c>
      <c r="B84" s="12">
        <f t="shared" si="6"/>
        <v>596.94371289841331</v>
      </c>
      <c r="C84" s="25">
        <f t="shared" si="7"/>
        <v>93.722400753411094</v>
      </c>
      <c r="D84" s="13">
        <f t="shared" si="8"/>
        <v>846.9965821512609</v>
      </c>
      <c r="E84" s="6">
        <f t="shared" si="9"/>
        <v>2.9719178321096873</v>
      </c>
      <c r="F84" s="3"/>
    </row>
    <row r="85" spans="1:11" x14ac:dyDescent="0.25">
      <c r="A85">
        <v>13</v>
      </c>
      <c r="B85" s="12">
        <f t="shared" si="6"/>
        <v>698.4241440911436</v>
      </c>
      <c r="C85" s="25">
        <f t="shared" si="7"/>
        <v>109.65520888149099</v>
      </c>
      <c r="D85" s="13">
        <f t="shared" si="8"/>
        <v>990.98600111697533</v>
      </c>
      <c r="E85" s="6">
        <f t="shared" si="9"/>
        <v>3.4771438635683345</v>
      </c>
      <c r="F85" s="3"/>
    </row>
    <row r="86" spans="1:11" x14ac:dyDescent="0.25">
      <c r="A86">
        <v>14</v>
      </c>
      <c r="B86" s="12">
        <f t="shared" si="6"/>
        <v>817.15624858663818</v>
      </c>
      <c r="C86" s="25">
        <f t="shared" si="7"/>
        <v>128.29659439134446</v>
      </c>
      <c r="D86" s="13">
        <f t="shared" si="8"/>
        <v>1159.4536213068609</v>
      </c>
      <c r="E86" s="6">
        <f t="shared" si="9"/>
        <v>4.0682583203749507</v>
      </c>
      <c r="F86" s="3"/>
    </row>
    <row r="87" spans="1:11" x14ac:dyDescent="0.25">
      <c r="A87">
        <v>15</v>
      </c>
      <c r="B87" s="12">
        <f t="shared" si="6"/>
        <v>956.07281084636656</v>
      </c>
      <c r="C87" s="25">
        <f t="shared" si="7"/>
        <v>150.10701543787297</v>
      </c>
      <c r="D87" s="13">
        <f t="shared" si="8"/>
        <v>1356.5607369290271</v>
      </c>
      <c r="E87" s="6">
        <f t="shared" si="9"/>
        <v>4.7598622348386916</v>
      </c>
      <c r="F87" s="3"/>
    </row>
    <row r="89" spans="1:11" x14ac:dyDescent="0.25">
      <c r="A89" s="11" t="s">
        <v>72</v>
      </c>
    </row>
    <row r="90" spans="1:11" x14ac:dyDescent="0.25">
      <c r="A90" s="11"/>
      <c r="G90" s="39" t="s">
        <v>77</v>
      </c>
      <c r="H90" s="39" t="s">
        <v>76</v>
      </c>
    </row>
    <row r="91" spans="1:11" x14ac:dyDescent="0.25">
      <c r="A91" s="2" t="s">
        <v>7</v>
      </c>
      <c r="C91" s="39" t="s">
        <v>2</v>
      </c>
      <c r="D91" s="39" t="s">
        <v>3</v>
      </c>
      <c r="G91" s="39" t="s">
        <v>58</v>
      </c>
      <c r="H91" s="39" t="s">
        <v>58</v>
      </c>
    </row>
    <row r="92" spans="1:11" ht="15.75" x14ac:dyDescent="0.25">
      <c r="A92" s="2" t="s">
        <v>84</v>
      </c>
      <c r="B92" s="16">
        <v>1</v>
      </c>
      <c r="C92" s="17">
        <v>128</v>
      </c>
      <c r="D92" s="17">
        <v>2</v>
      </c>
      <c r="E92" s="18">
        <v>200</v>
      </c>
      <c r="F92" s="19" t="s">
        <v>5</v>
      </c>
      <c r="G92" s="22">
        <v>8</v>
      </c>
      <c r="H92" s="22">
        <v>0</v>
      </c>
      <c r="I92" s="20">
        <v>7</v>
      </c>
      <c r="J92" s="21">
        <v>0.75</v>
      </c>
      <c r="K92" s="21">
        <v>0.1</v>
      </c>
    </row>
    <row r="94" spans="1:11" x14ac:dyDescent="0.25">
      <c r="H94" s="1" t="s">
        <v>30</v>
      </c>
    </row>
    <row r="95" spans="1:11" x14ac:dyDescent="0.25">
      <c r="B95" s="28"/>
      <c r="C95" s="28"/>
      <c r="D95" s="28"/>
      <c r="E95" s="1" t="s">
        <v>32</v>
      </c>
      <c r="F95" s="1" t="s">
        <v>28</v>
      </c>
      <c r="G95" s="1" t="s">
        <v>23</v>
      </c>
      <c r="H95" s="1" t="s">
        <v>31</v>
      </c>
      <c r="I95" s="28"/>
    </row>
    <row r="96" spans="1:11" x14ac:dyDescent="0.25">
      <c r="A96" s="4" t="s">
        <v>8</v>
      </c>
      <c r="B96" s="1" t="s">
        <v>21</v>
      </c>
      <c r="C96" s="1" t="s">
        <v>27</v>
      </c>
      <c r="D96" s="1" t="s">
        <v>9</v>
      </c>
      <c r="E96" s="1" t="s">
        <v>33</v>
      </c>
      <c r="F96" s="1" t="s">
        <v>29</v>
      </c>
      <c r="G96" s="1" t="s">
        <v>29</v>
      </c>
      <c r="H96" s="1" t="s">
        <v>29</v>
      </c>
      <c r="I96" s="1" t="s">
        <v>10</v>
      </c>
    </row>
    <row r="97" spans="1:9" x14ac:dyDescent="0.25">
      <c r="A97">
        <v>0</v>
      </c>
      <c r="B97" s="26">
        <v>4.9000000000000004</v>
      </c>
      <c r="C97" s="30">
        <v>415</v>
      </c>
      <c r="D97" s="25">
        <f t="shared" ref="D97:D112" si="10">B97*secondsPerYear/1000/1000</f>
        <v>154.5264</v>
      </c>
      <c r="E97" s="13">
        <f t="shared" ref="E97:E112" si="11">B97*secondsPerBlock*avgTrSize/1000</f>
        <v>1396.5</v>
      </c>
      <c r="F97" s="12">
        <f t="shared" ref="F97:F112" si="12">assumevalidBlockTime*D97/365</f>
        <v>88.905599999999993</v>
      </c>
      <c r="G97" s="12">
        <f t="shared" ref="G97:G112" si="13">C97-F97</f>
        <v>326.09440000000001</v>
      </c>
      <c r="H97" s="12">
        <f t="shared" ref="H97:H112" si="14">F97+G97*(1-assumevalidSpeedup)</f>
        <v>121.51503999999998</v>
      </c>
      <c r="I97" s="27">
        <f t="shared" ref="I97:I112" si="15">(H97*1000*1000/(throughput3*POWER(1+cpuGrowth,A97)))/(secondsPerYear/365)</f>
        <v>7.0321203703703699</v>
      </c>
    </row>
    <row r="98" spans="1:9" x14ac:dyDescent="0.25">
      <c r="A98">
        <v>1</v>
      </c>
      <c r="B98" s="26">
        <v>5.2</v>
      </c>
      <c r="C98" s="12">
        <f>C97+D97</f>
        <v>569.52639999999997</v>
      </c>
      <c r="D98" s="25">
        <f t="shared" si="10"/>
        <v>163.9872</v>
      </c>
      <c r="E98" s="13">
        <f t="shared" si="11"/>
        <v>1482</v>
      </c>
      <c r="F98" s="12">
        <f t="shared" si="12"/>
        <v>94.348799999999997</v>
      </c>
      <c r="G98" s="12">
        <f t="shared" si="13"/>
        <v>475.17759999999998</v>
      </c>
      <c r="H98" s="12">
        <f t="shared" si="14"/>
        <v>141.86655999999999</v>
      </c>
      <c r="I98" s="27">
        <f t="shared" si="15"/>
        <v>7.0169832225387774</v>
      </c>
    </row>
    <row r="99" spans="1:9" x14ac:dyDescent="0.25">
      <c r="A99">
        <v>2</v>
      </c>
      <c r="B99" s="26">
        <v>5.6</v>
      </c>
      <c r="C99" s="12">
        <f t="shared" ref="C99:C112" si="16">C98+D98</f>
        <v>733.5136</v>
      </c>
      <c r="D99" s="25">
        <f t="shared" si="10"/>
        <v>176.60160000000002</v>
      </c>
      <c r="E99" s="13">
        <f t="shared" si="11"/>
        <v>1596</v>
      </c>
      <c r="F99" s="12">
        <f t="shared" si="12"/>
        <v>101.60640000000001</v>
      </c>
      <c r="G99" s="12">
        <f t="shared" si="13"/>
        <v>631.90719999999999</v>
      </c>
      <c r="H99" s="12">
        <f t="shared" si="14"/>
        <v>164.79712000000001</v>
      </c>
      <c r="I99" s="27">
        <f t="shared" si="15"/>
        <v>6.9668130399374473</v>
      </c>
    </row>
    <row r="100" spans="1:9" x14ac:dyDescent="0.25">
      <c r="A100">
        <v>3</v>
      </c>
      <c r="B100" s="26">
        <v>6.3</v>
      </c>
      <c r="C100" s="12">
        <f t="shared" si="16"/>
        <v>910.11519999999996</v>
      </c>
      <c r="D100" s="25">
        <f t="shared" si="10"/>
        <v>198.67679999999999</v>
      </c>
      <c r="E100" s="13">
        <f t="shared" si="11"/>
        <v>1795.5</v>
      </c>
      <c r="F100" s="12">
        <f t="shared" si="12"/>
        <v>114.30719999999999</v>
      </c>
      <c r="G100" s="12">
        <f t="shared" si="13"/>
        <v>795.80799999999999</v>
      </c>
      <c r="H100" s="12">
        <f t="shared" si="14"/>
        <v>193.88799999999998</v>
      </c>
      <c r="I100" s="27">
        <f t="shared" si="15"/>
        <v>7.005668891530207</v>
      </c>
    </row>
    <row r="101" spans="1:9" x14ac:dyDescent="0.25">
      <c r="A101">
        <v>4</v>
      </c>
      <c r="B101" s="26">
        <v>7</v>
      </c>
      <c r="C101" s="12">
        <f t="shared" si="16"/>
        <v>1108.7919999999999</v>
      </c>
      <c r="D101" s="25">
        <f t="shared" si="10"/>
        <v>220.75200000000001</v>
      </c>
      <c r="E101" s="13">
        <f t="shared" si="11"/>
        <v>1995</v>
      </c>
      <c r="F101" s="12">
        <f t="shared" si="12"/>
        <v>127.00800000000001</v>
      </c>
      <c r="G101" s="12">
        <f t="shared" si="13"/>
        <v>981.78399999999988</v>
      </c>
      <c r="H101" s="12">
        <f t="shared" si="14"/>
        <v>225.18639999999999</v>
      </c>
      <c r="I101" s="27">
        <f t="shared" si="15"/>
        <v>6.9543248392043688</v>
      </c>
    </row>
    <row r="102" spans="1:9" x14ac:dyDescent="0.25">
      <c r="A102">
        <v>5</v>
      </c>
      <c r="B102" s="26">
        <v>8</v>
      </c>
      <c r="C102" s="12">
        <f t="shared" si="16"/>
        <v>1329.5439999999999</v>
      </c>
      <c r="D102" s="25">
        <f t="shared" si="10"/>
        <v>252.28800000000001</v>
      </c>
      <c r="E102" s="13">
        <f t="shared" si="11"/>
        <v>2280</v>
      </c>
      <c r="F102" s="12">
        <f t="shared" si="12"/>
        <v>145.15200000000002</v>
      </c>
      <c r="G102" s="12">
        <f t="shared" si="13"/>
        <v>1184.3919999999998</v>
      </c>
      <c r="H102" s="12">
        <f t="shared" si="14"/>
        <v>263.59119999999996</v>
      </c>
      <c r="I102" s="27">
        <f t="shared" si="15"/>
        <v>6.9575744200021923</v>
      </c>
    </row>
    <row r="103" spans="1:9" x14ac:dyDescent="0.25">
      <c r="A103">
        <v>6</v>
      </c>
      <c r="B103" s="26">
        <v>9.1999999999999993</v>
      </c>
      <c r="C103" s="12">
        <f t="shared" si="16"/>
        <v>1581.8319999999999</v>
      </c>
      <c r="D103" s="25">
        <f t="shared" si="10"/>
        <v>290.13120000000004</v>
      </c>
      <c r="E103" s="13">
        <f t="shared" si="11"/>
        <v>2622</v>
      </c>
      <c r="F103" s="12">
        <f t="shared" si="12"/>
        <v>166.92480000000003</v>
      </c>
      <c r="G103" s="12">
        <f t="shared" si="13"/>
        <v>1414.9071999999999</v>
      </c>
      <c r="H103" s="12">
        <f t="shared" si="14"/>
        <v>308.41552000000001</v>
      </c>
      <c r="I103" s="27">
        <f t="shared" si="15"/>
        <v>6.9578861103947567</v>
      </c>
    </row>
    <row r="104" spans="1:9" x14ac:dyDescent="0.25">
      <c r="A104">
        <v>7</v>
      </c>
      <c r="B104" s="26">
        <v>10.8</v>
      </c>
      <c r="C104" s="12">
        <f t="shared" si="16"/>
        <v>1871.9631999999999</v>
      </c>
      <c r="D104" s="25">
        <f t="shared" si="10"/>
        <v>340.58879999999999</v>
      </c>
      <c r="E104" s="13">
        <f t="shared" si="11"/>
        <v>3078</v>
      </c>
      <c r="F104" s="12">
        <f t="shared" si="12"/>
        <v>195.95519999999999</v>
      </c>
      <c r="G104" s="12">
        <f t="shared" si="13"/>
        <v>1676.0079999999998</v>
      </c>
      <c r="H104" s="12">
        <f t="shared" si="14"/>
        <v>363.55599999999993</v>
      </c>
      <c r="I104" s="27">
        <f t="shared" si="15"/>
        <v>7.0101376552459262</v>
      </c>
    </row>
    <row r="105" spans="1:9" x14ac:dyDescent="0.25">
      <c r="A105">
        <v>8</v>
      </c>
      <c r="B105" s="26">
        <v>12.5</v>
      </c>
      <c r="C105" s="12">
        <f t="shared" si="16"/>
        <v>2212.5519999999997</v>
      </c>
      <c r="D105" s="25">
        <f t="shared" si="10"/>
        <v>394.2</v>
      </c>
      <c r="E105" s="13">
        <f t="shared" si="11"/>
        <v>3562.5</v>
      </c>
      <c r="F105" s="12">
        <f t="shared" si="12"/>
        <v>226.8</v>
      </c>
      <c r="G105" s="12">
        <f t="shared" si="13"/>
        <v>1985.7519999999997</v>
      </c>
      <c r="H105" s="12">
        <f t="shared" si="14"/>
        <v>425.37519999999995</v>
      </c>
      <c r="I105" s="27">
        <f t="shared" si="15"/>
        <v>7.0103795884201165</v>
      </c>
    </row>
    <row r="106" spans="1:9" x14ac:dyDescent="0.25">
      <c r="A106">
        <v>9</v>
      </c>
      <c r="B106" s="26">
        <v>14.3</v>
      </c>
      <c r="C106" s="12">
        <f t="shared" si="16"/>
        <v>2606.7519999999995</v>
      </c>
      <c r="D106" s="25">
        <f t="shared" si="10"/>
        <v>450.96479999999997</v>
      </c>
      <c r="E106" s="13">
        <f t="shared" si="11"/>
        <v>4075.5</v>
      </c>
      <c r="F106" s="12">
        <f t="shared" si="12"/>
        <v>259.45919999999995</v>
      </c>
      <c r="G106" s="12">
        <f t="shared" si="13"/>
        <v>2347.2927999999997</v>
      </c>
      <c r="H106" s="12">
        <f t="shared" si="14"/>
        <v>494.18847999999991</v>
      </c>
      <c r="I106" s="27">
        <f t="shared" si="15"/>
        <v>6.9610719634179485</v>
      </c>
    </row>
    <row r="107" spans="1:9" x14ac:dyDescent="0.25">
      <c r="A107">
        <v>10</v>
      </c>
      <c r="B107" s="26">
        <v>17</v>
      </c>
      <c r="C107" s="31">
        <f t="shared" si="16"/>
        <v>3057.7167999999992</v>
      </c>
      <c r="D107" s="25">
        <f t="shared" si="10"/>
        <v>536.11199999999997</v>
      </c>
      <c r="E107" s="13">
        <f t="shared" si="11"/>
        <v>4845</v>
      </c>
      <c r="F107" s="12">
        <f t="shared" si="12"/>
        <v>308.44799999999998</v>
      </c>
      <c r="G107" s="12">
        <f t="shared" si="13"/>
        <v>2749.2687999999994</v>
      </c>
      <c r="H107" s="12">
        <f t="shared" si="14"/>
        <v>583.37487999999985</v>
      </c>
      <c r="I107" s="27">
        <f t="shared" si="15"/>
        <v>7.0233671012487537</v>
      </c>
    </row>
    <row r="108" spans="1:9" x14ac:dyDescent="0.25">
      <c r="A108">
        <v>11</v>
      </c>
      <c r="B108" s="26">
        <v>19.399999999999999</v>
      </c>
      <c r="C108" s="12">
        <f t="shared" si="16"/>
        <v>3593.8287999999993</v>
      </c>
      <c r="D108" s="25">
        <f t="shared" si="10"/>
        <v>611.79840000000002</v>
      </c>
      <c r="E108" s="13">
        <f t="shared" si="11"/>
        <v>5529</v>
      </c>
      <c r="F108" s="12">
        <f t="shared" si="12"/>
        <v>351.99360000000001</v>
      </c>
      <c r="G108" s="12">
        <f t="shared" si="13"/>
        <v>3241.8351999999995</v>
      </c>
      <c r="H108" s="12">
        <f t="shared" si="14"/>
        <v>676.17711999999983</v>
      </c>
      <c r="I108" s="27">
        <f t="shared" si="15"/>
        <v>6.9578050155405826</v>
      </c>
    </row>
    <row r="109" spans="1:9" x14ac:dyDescent="0.25">
      <c r="A109">
        <v>12</v>
      </c>
      <c r="B109" s="26">
        <v>23</v>
      </c>
      <c r="C109" s="12">
        <f t="shared" si="16"/>
        <v>4205.627199999999</v>
      </c>
      <c r="D109" s="25">
        <f t="shared" si="10"/>
        <v>725.32799999999997</v>
      </c>
      <c r="E109" s="13">
        <f t="shared" si="11"/>
        <v>6555</v>
      </c>
      <c r="F109" s="12">
        <f t="shared" si="12"/>
        <v>417.31200000000001</v>
      </c>
      <c r="G109" s="12">
        <f t="shared" si="13"/>
        <v>3788.3151999999991</v>
      </c>
      <c r="H109" s="12">
        <f t="shared" si="14"/>
        <v>796.14351999999985</v>
      </c>
      <c r="I109" s="27">
        <f t="shared" si="15"/>
        <v>7.0019222745567324</v>
      </c>
    </row>
    <row r="110" spans="1:9" x14ac:dyDescent="0.25">
      <c r="A110">
        <v>13</v>
      </c>
      <c r="B110" s="26">
        <v>27</v>
      </c>
      <c r="C110" s="12">
        <f t="shared" si="16"/>
        <v>4930.9551999999985</v>
      </c>
      <c r="D110" s="25">
        <f t="shared" si="10"/>
        <v>851.47199999999998</v>
      </c>
      <c r="E110" s="13">
        <f t="shared" si="11"/>
        <v>7695</v>
      </c>
      <c r="F110" s="12">
        <f t="shared" si="12"/>
        <v>489.88799999999998</v>
      </c>
      <c r="G110" s="12">
        <f t="shared" si="13"/>
        <v>4441.0671999999986</v>
      </c>
      <c r="H110" s="12">
        <f t="shared" si="14"/>
        <v>933.99471999999969</v>
      </c>
      <c r="I110" s="27">
        <f t="shared" si="15"/>
        <v>7.0207657073208232</v>
      </c>
    </row>
    <row r="111" spans="1:9" x14ac:dyDescent="0.25">
      <c r="A111">
        <v>14</v>
      </c>
      <c r="B111" s="26">
        <v>31</v>
      </c>
      <c r="C111" s="12">
        <f t="shared" si="16"/>
        <v>5782.4271999999983</v>
      </c>
      <c r="D111" s="25">
        <f t="shared" si="10"/>
        <v>977.61599999999999</v>
      </c>
      <c r="E111" s="13">
        <f t="shared" si="11"/>
        <v>8835</v>
      </c>
      <c r="F111" s="12">
        <f t="shared" si="12"/>
        <v>562.46399999999994</v>
      </c>
      <c r="G111" s="12">
        <f t="shared" si="13"/>
        <v>5219.9631999999983</v>
      </c>
      <c r="H111" s="12">
        <f t="shared" si="14"/>
        <v>1084.4603199999997</v>
      </c>
      <c r="I111" s="27">
        <f t="shared" si="15"/>
        <v>6.9673537831319159</v>
      </c>
    </row>
    <row r="112" spans="1:9" x14ac:dyDescent="0.25">
      <c r="A112">
        <v>15</v>
      </c>
      <c r="B112" s="26">
        <v>37</v>
      </c>
      <c r="C112" s="12">
        <f t="shared" si="16"/>
        <v>6760.0431999999983</v>
      </c>
      <c r="D112" s="25">
        <f t="shared" si="10"/>
        <v>1166.8320000000001</v>
      </c>
      <c r="E112" s="13">
        <f t="shared" si="11"/>
        <v>10545</v>
      </c>
      <c r="F112" s="12">
        <f t="shared" si="12"/>
        <v>671.32800000000009</v>
      </c>
      <c r="G112" s="12">
        <f t="shared" si="13"/>
        <v>6088.7151999999978</v>
      </c>
      <c r="H112" s="12">
        <f t="shared" si="14"/>
        <v>1280.1995199999997</v>
      </c>
      <c r="I112" s="27">
        <f t="shared" si="15"/>
        <v>7.0298489861354483</v>
      </c>
    </row>
    <row r="114" spans="1:9" x14ac:dyDescent="0.25">
      <c r="H114" s="1" t="s">
        <v>30</v>
      </c>
    </row>
    <row r="115" spans="1:9" x14ac:dyDescent="0.25">
      <c r="E115" s="1" t="s">
        <v>32</v>
      </c>
      <c r="F115" s="1" t="s">
        <v>28</v>
      </c>
      <c r="G115" s="1" t="s">
        <v>23</v>
      </c>
      <c r="H115" s="1" t="s">
        <v>31</v>
      </c>
    </row>
    <row r="116" spans="1:9" x14ac:dyDescent="0.25">
      <c r="A116" s="4" t="s">
        <v>8</v>
      </c>
      <c r="B116" s="5" t="s">
        <v>21</v>
      </c>
      <c r="C116" s="5" t="s">
        <v>27</v>
      </c>
      <c r="D116" s="5" t="s">
        <v>9</v>
      </c>
      <c r="E116" s="1" t="s">
        <v>33</v>
      </c>
      <c r="F116" s="1" t="s">
        <v>29</v>
      </c>
      <c r="G116" s="1" t="s">
        <v>29</v>
      </c>
      <c r="H116" s="1" t="s">
        <v>29</v>
      </c>
      <c r="I116" s="5" t="s">
        <v>10</v>
      </c>
    </row>
    <row r="117" spans="1:9" x14ac:dyDescent="0.25">
      <c r="A117">
        <v>0</v>
      </c>
      <c r="B117" s="32">
        <v>4.2</v>
      </c>
      <c r="C117" s="29">
        <v>530</v>
      </c>
      <c r="D117" s="25">
        <f t="shared" ref="D117:D132" si="17">B117*secondsPerYear/1000/1000</f>
        <v>132.4512</v>
      </c>
      <c r="E117" s="13">
        <f t="shared" ref="E117:E132" si="18">B117*secondsPerBlock*avgTrSize/1000</f>
        <v>1197</v>
      </c>
      <c r="F117" s="12">
        <f t="shared" ref="F117:F132" si="19">assumevalidBlockTime*D117/365</f>
        <v>76.204800000000006</v>
      </c>
      <c r="G117" s="12">
        <f t="shared" ref="G117:G132" si="20">C117-F117</f>
        <v>453.79520000000002</v>
      </c>
      <c r="H117" s="12">
        <f t="shared" ref="H117:H132" si="21">F117+G117*(1-assumevalidSpeedup)</f>
        <v>121.58431999999999</v>
      </c>
      <c r="I117" s="27">
        <f t="shared" ref="I117:I132" si="22">(H117*1000*1000/(throughput3*POWER(1+cpuGrowth,A117)))/(secondsPerYear/365)</f>
        <v>7.0361296296296292</v>
      </c>
    </row>
    <row r="118" spans="1:9" x14ac:dyDescent="0.25">
      <c r="A118">
        <v>1</v>
      </c>
      <c r="B118" s="26">
        <v>4.5999999999999996</v>
      </c>
      <c r="C118" s="12">
        <f>C117+D117</f>
        <v>662.45119999999997</v>
      </c>
      <c r="D118" s="25">
        <f t="shared" si="17"/>
        <v>145.06560000000002</v>
      </c>
      <c r="E118" s="13">
        <f t="shared" si="18"/>
        <v>1311</v>
      </c>
      <c r="F118" s="12">
        <f t="shared" si="19"/>
        <v>83.462400000000017</v>
      </c>
      <c r="G118" s="12">
        <f t="shared" si="20"/>
        <v>578.98879999999997</v>
      </c>
      <c r="H118" s="12">
        <f t="shared" si="21"/>
        <v>141.36127999999999</v>
      </c>
      <c r="I118" s="27">
        <f t="shared" si="22"/>
        <v>6.9919911364355816</v>
      </c>
    </row>
    <row r="119" spans="1:9" x14ac:dyDescent="0.25">
      <c r="A119">
        <v>2</v>
      </c>
      <c r="B119" s="26">
        <v>5.2</v>
      </c>
      <c r="C119" s="12">
        <f t="shared" ref="C119:C132" si="23">C118+D118</f>
        <v>807.51679999999999</v>
      </c>
      <c r="D119" s="25">
        <f t="shared" si="17"/>
        <v>163.9872</v>
      </c>
      <c r="E119" s="13">
        <f t="shared" si="18"/>
        <v>1482</v>
      </c>
      <c r="F119" s="12">
        <f t="shared" si="19"/>
        <v>94.348799999999997</v>
      </c>
      <c r="G119" s="12">
        <f t="shared" si="20"/>
        <v>713.16800000000001</v>
      </c>
      <c r="H119" s="12">
        <f t="shared" si="21"/>
        <v>165.66559999999998</v>
      </c>
      <c r="I119" s="27">
        <f t="shared" si="22"/>
        <v>7.0035281098908824</v>
      </c>
    </row>
    <row r="120" spans="1:9" x14ac:dyDescent="0.25">
      <c r="A120">
        <v>3</v>
      </c>
      <c r="B120" s="26">
        <v>5.9</v>
      </c>
      <c r="C120" s="12">
        <f t="shared" si="23"/>
        <v>971.50400000000002</v>
      </c>
      <c r="D120" s="25">
        <f t="shared" si="17"/>
        <v>186.0624</v>
      </c>
      <c r="E120" s="13">
        <f t="shared" si="18"/>
        <v>1681.5</v>
      </c>
      <c r="F120" s="12">
        <f t="shared" si="19"/>
        <v>107.0496</v>
      </c>
      <c r="G120" s="12">
        <f t="shared" si="20"/>
        <v>864.45440000000008</v>
      </c>
      <c r="H120" s="12">
        <f t="shared" si="21"/>
        <v>193.49503999999999</v>
      </c>
      <c r="I120" s="27">
        <f t="shared" si="22"/>
        <v>6.9914702425802169</v>
      </c>
    </row>
    <row r="121" spans="1:9" x14ac:dyDescent="0.25">
      <c r="A121">
        <v>4</v>
      </c>
      <c r="B121" s="26">
        <v>6.7</v>
      </c>
      <c r="C121" s="12">
        <f t="shared" si="23"/>
        <v>1157.5663999999999</v>
      </c>
      <c r="D121" s="25">
        <f t="shared" si="17"/>
        <v>211.2912</v>
      </c>
      <c r="E121" s="13">
        <f t="shared" si="18"/>
        <v>1909.5</v>
      </c>
      <c r="F121" s="12">
        <f t="shared" si="19"/>
        <v>121.56480000000001</v>
      </c>
      <c r="G121" s="12">
        <f t="shared" si="20"/>
        <v>1036.0015999999998</v>
      </c>
      <c r="H121" s="12">
        <f t="shared" si="21"/>
        <v>225.16495999999995</v>
      </c>
      <c r="I121" s="27">
        <f t="shared" si="22"/>
        <v>6.9536627178482266</v>
      </c>
    </row>
    <row r="122" spans="1:9" x14ac:dyDescent="0.25">
      <c r="A122">
        <v>5</v>
      </c>
      <c r="B122" s="26">
        <v>7.8</v>
      </c>
      <c r="C122" s="12">
        <f t="shared" si="23"/>
        <v>1368.8575999999998</v>
      </c>
      <c r="D122" s="25">
        <f t="shared" si="17"/>
        <v>245.98079999999999</v>
      </c>
      <c r="E122" s="13">
        <f t="shared" si="18"/>
        <v>2223</v>
      </c>
      <c r="F122" s="12">
        <f t="shared" si="19"/>
        <v>141.5232</v>
      </c>
      <c r="G122" s="12">
        <f t="shared" si="20"/>
        <v>1227.3343999999997</v>
      </c>
      <c r="H122" s="12">
        <f t="shared" si="21"/>
        <v>264.25663999999995</v>
      </c>
      <c r="I122" s="27">
        <f t="shared" si="22"/>
        <v>6.9751389226185418</v>
      </c>
    </row>
    <row r="123" spans="1:9" x14ac:dyDescent="0.25">
      <c r="A123">
        <v>6</v>
      </c>
      <c r="B123" s="26">
        <v>9</v>
      </c>
      <c r="C123" s="12">
        <f t="shared" si="23"/>
        <v>1614.8383999999999</v>
      </c>
      <c r="D123" s="25">
        <f t="shared" si="17"/>
        <v>283.82400000000001</v>
      </c>
      <c r="E123" s="13">
        <f t="shared" si="18"/>
        <v>2565</v>
      </c>
      <c r="F123" s="12">
        <f t="shared" si="19"/>
        <v>163.29599999999999</v>
      </c>
      <c r="G123" s="12">
        <f t="shared" si="20"/>
        <v>1451.5423999999998</v>
      </c>
      <c r="H123" s="12">
        <f t="shared" si="21"/>
        <v>308.45023999999995</v>
      </c>
      <c r="I123" s="27">
        <f t="shared" si="22"/>
        <v>6.9586693971948259</v>
      </c>
    </row>
    <row r="124" spans="1:9" x14ac:dyDescent="0.25">
      <c r="A124">
        <v>7</v>
      </c>
      <c r="B124" s="26">
        <v>10.5</v>
      </c>
      <c r="C124" s="12">
        <f t="shared" si="23"/>
        <v>1898.6623999999999</v>
      </c>
      <c r="D124" s="25">
        <f t="shared" si="17"/>
        <v>331.12799999999999</v>
      </c>
      <c r="E124" s="13">
        <f t="shared" si="18"/>
        <v>2992.5</v>
      </c>
      <c r="F124" s="12">
        <f t="shared" si="19"/>
        <v>190.51199999999997</v>
      </c>
      <c r="G124" s="12">
        <f t="shared" si="20"/>
        <v>1708.1504</v>
      </c>
      <c r="H124" s="12">
        <f t="shared" si="21"/>
        <v>361.3270399999999</v>
      </c>
      <c r="I124" s="27">
        <f t="shared" si="22"/>
        <v>6.9671585366836224</v>
      </c>
    </row>
    <row r="125" spans="1:9" x14ac:dyDescent="0.25">
      <c r="A125">
        <v>8</v>
      </c>
      <c r="B125" s="26">
        <v>12.2</v>
      </c>
      <c r="C125" s="12">
        <f t="shared" si="23"/>
        <v>2229.7903999999999</v>
      </c>
      <c r="D125" s="25">
        <f t="shared" si="17"/>
        <v>384.73920000000004</v>
      </c>
      <c r="E125" s="13">
        <f t="shared" si="18"/>
        <v>3477</v>
      </c>
      <c r="F125" s="12">
        <f t="shared" si="19"/>
        <v>221.35680000000002</v>
      </c>
      <c r="G125" s="12">
        <f t="shared" si="20"/>
        <v>2008.4335999999998</v>
      </c>
      <c r="H125" s="12">
        <f t="shared" si="21"/>
        <v>422.20015999999998</v>
      </c>
      <c r="I125" s="27">
        <f t="shared" si="22"/>
        <v>6.9580534640752632</v>
      </c>
    </row>
    <row r="126" spans="1:9" x14ac:dyDescent="0.25">
      <c r="A126">
        <v>9</v>
      </c>
      <c r="B126" s="26">
        <v>14.3</v>
      </c>
      <c r="C126" s="12">
        <f t="shared" si="23"/>
        <v>2614.5295999999998</v>
      </c>
      <c r="D126" s="25">
        <f t="shared" si="17"/>
        <v>450.96479999999997</v>
      </c>
      <c r="E126" s="13">
        <f t="shared" si="18"/>
        <v>4075.5</v>
      </c>
      <c r="F126" s="12">
        <f t="shared" si="19"/>
        <v>259.45919999999995</v>
      </c>
      <c r="G126" s="12">
        <f t="shared" si="20"/>
        <v>2355.0704000000001</v>
      </c>
      <c r="H126" s="12">
        <f t="shared" si="21"/>
        <v>494.96623999999991</v>
      </c>
      <c r="I126" s="27">
        <f t="shared" si="22"/>
        <v>6.9720273853862391</v>
      </c>
    </row>
    <row r="127" spans="1:9" x14ac:dyDescent="0.25">
      <c r="A127">
        <v>10</v>
      </c>
      <c r="B127" s="26">
        <v>16.600000000000001</v>
      </c>
      <c r="C127" s="31">
        <f t="shared" si="23"/>
        <v>3065.4943999999996</v>
      </c>
      <c r="D127" s="25">
        <f t="shared" si="17"/>
        <v>523.49760000000003</v>
      </c>
      <c r="E127" s="13">
        <f t="shared" si="18"/>
        <v>4731</v>
      </c>
      <c r="F127" s="12">
        <f t="shared" si="19"/>
        <v>301.19040000000001</v>
      </c>
      <c r="G127" s="12">
        <f t="shared" si="20"/>
        <v>2764.3039999999996</v>
      </c>
      <c r="H127" s="12">
        <f t="shared" si="21"/>
        <v>577.62079999999992</v>
      </c>
      <c r="I127" s="27">
        <f t="shared" si="22"/>
        <v>6.9540925788868142</v>
      </c>
    </row>
    <row r="128" spans="1:9" x14ac:dyDescent="0.25">
      <c r="A128">
        <v>11</v>
      </c>
      <c r="B128" s="26">
        <v>19.399999999999999</v>
      </c>
      <c r="C128" s="12">
        <f t="shared" si="23"/>
        <v>3588.9919999999997</v>
      </c>
      <c r="D128" s="25">
        <f t="shared" si="17"/>
        <v>611.79840000000002</v>
      </c>
      <c r="E128" s="13">
        <f t="shared" si="18"/>
        <v>5529</v>
      </c>
      <c r="F128" s="12">
        <f t="shared" si="19"/>
        <v>351.99360000000001</v>
      </c>
      <c r="G128" s="12">
        <f t="shared" si="20"/>
        <v>3236.9983999999995</v>
      </c>
      <c r="H128" s="12">
        <f t="shared" si="21"/>
        <v>675.6934399999999</v>
      </c>
      <c r="I128" s="27">
        <f t="shared" si="22"/>
        <v>6.9528279895064635</v>
      </c>
    </row>
    <row r="129" spans="1:9" x14ac:dyDescent="0.25">
      <c r="A129">
        <v>12</v>
      </c>
      <c r="B129" s="26">
        <v>23</v>
      </c>
      <c r="C129" s="12">
        <f t="shared" si="23"/>
        <v>4200.7903999999999</v>
      </c>
      <c r="D129" s="25">
        <f t="shared" si="17"/>
        <v>725.32799999999997</v>
      </c>
      <c r="E129" s="13">
        <f t="shared" si="18"/>
        <v>6555</v>
      </c>
      <c r="F129" s="12">
        <f t="shared" si="19"/>
        <v>417.31200000000001</v>
      </c>
      <c r="G129" s="12">
        <f t="shared" si="20"/>
        <v>3783.4784</v>
      </c>
      <c r="H129" s="12">
        <f t="shared" si="21"/>
        <v>795.65983999999992</v>
      </c>
      <c r="I129" s="27">
        <f t="shared" si="22"/>
        <v>6.9976684061515027</v>
      </c>
    </row>
    <row r="130" spans="1:9" x14ac:dyDescent="0.25">
      <c r="A130">
        <v>13</v>
      </c>
      <c r="B130" s="26">
        <v>27</v>
      </c>
      <c r="C130" s="12">
        <f t="shared" si="23"/>
        <v>4926.1183999999994</v>
      </c>
      <c r="D130" s="25">
        <f t="shared" si="17"/>
        <v>851.47199999999998</v>
      </c>
      <c r="E130" s="13">
        <f t="shared" si="18"/>
        <v>7695</v>
      </c>
      <c r="F130" s="12">
        <f t="shared" si="19"/>
        <v>489.88799999999998</v>
      </c>
      <c r="G130" s="12">
        <f t="shared" si="20"/>
        <v>4436.2303999999995</v>
      </c>
      <c r="H130" s="12">
        <f t="shared" si="21"/>
        <v>933.51103999999987</v>
      </c>
      <c r="I130" s="27">
        <f t="shared" si="22"/>
        <v>7.0171299223590875</v>
      </c>
    </row>
    <row r="131" spans="1:9" x14ac:dyDescent="0.25">
      <c r="A131">
        <v>14</v>
      </c>
      <c r="B131" s="26">
        <v>31</v>
      </c>
      <c r="C131" s="12">
        <f t="shared" si="23"/>
        <v>5777.5903999999991</v>
      </c>
      <c r="D131" s="25">
        <f t="shared" si="17"/>
        <v>977.61599999999999</v>
      </c>
      <c r="E131" s="13">
        <f t="shared" si="18"/>
        <v>8835</v>
      </c>
      <c r="F131" s="12">
        <f t="shared" si="19"/>
        <v>562.46399999999994</v>
      </c>
      <c r="G131" s="12">
        <f t="shared" si="20"/>
        <v>5215.1263999999992</v>
      </c>
      <c r="H131" s="12">
        <f t="shared" si="21"/>
        <v>1083.9766399999999</v>
      </c>
      <c r="I131" s="27">
        <f t="shared" si="22"/>
        <v>6.9642462746176159</v>
      </c>
    </row>
    <row r="132" spans="1:9" x14ac:dyDescent="0.25">
      <c r="A132">
        <v>15</v>
      </c>
      <c r="B132" s="26">
        <v>37</v>
      </c>
      <c r="C132" s="12">
        <f t="shared" si="23"/>
        <v>6755.2063999999991</v>
      </c>
      <c r="D132" s="25">
        <f t="shared" si="17"/>
        <v>1166.8320000000001</v>
      </c>
      <c r="E132" s="13">
        <f t="shared" si="18"/>
        <v>10545</v>
      </c>
      <c r="F132" s="12">
        <f t="shared" si="19"/>
        <v>671.32800000000009</v>
      </c>
      <c r="G132" s="12">
        <f t="shared" si="20"/>
        <v>6083.8783999999987</v>
      </c>
      <c r="H132" s="12">
        <f t="shared" si="21"/>
        <v>1279.7158399999998</v>
      </c>
      <c r="I132" s="27">
        <f t="shared" si="22"/>
        <v>7.0271929959522845</v>
      </c>
    </row>
    <row r="153" spans="1:11" x14ac:dyDescent="0.25">
      <c r="A153" s="5" t="s">
        <v>103</v>
      </c>
    </row>
    <row r="154" spans="1:11" x14ac:dyDescent="0.25">
      <c r="A154" s="5"/>
      <c r="G154" s="39" t="s">
        <v>77</v>
      </c>
      <c r="H154" s="39" t="s">
        <v>76</v>
      </c>
    </row>
    <row r="155" spans="1:11" x14ac:dyDescent="0.25">
      <c r="A155" s="2" t="s">
        <v>7</v>
      </c>
      <c r="C155" s="39" t="s">
        <v>2</v>
      </c>
      <c r="D155" s="39" t="s">
        <v>3</v>
      </c>
      <c r="G155" s="39" t="s">
        <v>58</v>
      </c>
      <c r="H155" s="39" t="s">
        <v>58</v>
      </c>
    </row>
    <row r="156" spans="1:11" ht="15.75" x14ac:dyDescent="0.25">
      <c r="A156" s="2" t="s">
        <v>84</v>
      </c>
      <c r="B156" s="16">
        <v>1</v>
      </c>
      <c r="C156" s="17">
        <v>128</v>
      </c>
      <c r="D156" s="17">
        <v>2</v>
      </c>
      <c r="E156" s="18">
        <v>200</v>
      </c>
      <c r="F156" s="19" t="s">
        <v>5</v>
      </c>
      <c r="G156" s="22">
        <v>8</v>
      </c>
      <c r="H156" s="22">
        <v>0</v>
      </c>
      <c r="I156" s="20">
        <v>7</v>
      </c>
      <c r="J156" s="21">
        <v>0.75</v>
      </c>
      <c r="K156" s="21">
        <v>0.1</v>
      </c>
    </row>
    <row r="158" spans="1:11" x14ac:dyDescent="0.25">
      <c r="E158" s="1" t="s">
        <v>32</v>
      </c>
    </row>
    <row r="159" spans="1:11" x14ac:dyDescent="0.25">
      <c r="A159" s="4" t="s">
        <v>8</v>
      </c>
      <c r="B159" s="1" t="s">
        <v>64</v>
      </c>
      <c r="C159" s="1" t="s">
        <v>65</v>
      </c>
      <c r="D159" s="1" t="s">
        <v>59</v>
      </c>
      <c r="E159" s="1" t="s">
        <v>33</v>
      </c>
    </row>
    <row r="160" spans="1:11" x14ac:dyDescent="0.25">
      <c r="A160">
        <v>0</v>
      </c>
      <c r="B160">
        <f t="shared" ref="B160:B175" si="24">invSize*(outgoingConnections+publicConnections8)</f>
        <v>288</v>
      </c>
      <c r="C160">
        <f t="shared" ref="C160:C175" si="25">2*avgTrSize</f>
        <v>950</v>
      </c>
      <c r="D160" s="3">
        <f t="shared" ref="D160:D175" si="26">(bandwidth8*mbToGB*KBperGB*1000)*ongoingResourcePercentage8*POWER(1+bandwidthGrowth,A160)/(B160+C160)</f>
        <v>10.096930533117932</v>
      </c>
      <c r="E160" s="47">
        <f>D160*avgTrSize*secondsPerBlock/1000/1000</f>
        <v>2.8776252019386108</v>
      </c>
    </row>
    <row r="161" spans="1:5" x14ac:dyDescent="0.25">
      <c r="A161">
        <v>1</v>
      </c>
      <c r="B161">
        <f t="shared" si="24"/>
        <v>288</v>
      </c>
      <c r="C161">
        <f t="shared" si="25"/>
        <v>950</v>
      </c>
      <c r="D161" s="111">
        <f t="shared" si="26"/>
        <v>12.621163166397416</v>
      </c>
      <c r="E161" s="47">
        <f t="shared" ref="E161:E175" si="27">D161*avgTrSize*secondsPerBlock/1000/1000</f>
        <v>3.5970315024232637</v>
      </c>
    </row>
    <row r="162" spans="1:5" x14ac:dyDescent="0.25">
      <c r="A162">
        <v>2</v>
      </c>
      <c r="B162">
        <f t="shared" si="24"/>
        <v>288</v>
      </c>
      <c r="C162">
        <f t="shared" si="25"/>
        <v>950</v>
      </c>
      <c r="D162" s="111">
        <f t="shared" si="26"/>
        <v>15.776453957996768</v>
      </c>
      <c r="E162" s="47">
        <f t="shared" si="27"/>
        <v>4.4962893780290791</v>
      </c>
    </row>
    <row r="163" spans="1:5" x14ac:dyDescent="0.25">
      <c r="A163">
        <v>3</v>
      </c>
      <c r="B163">
        <f t="shared" si="24"/>
        <v>288</v>
      </c>
      <c r="C163">
        <f t="shared" si="25"/>
        <v>950</v>
      </c>
      <c r="D163" s="111">
        <f t="shared" si="26"/>
        <v>19.720567447495963</v>
      </c>
      <c r="E163" s="47">
        <f t="shared" si="27"/>
        <v>5.6203617225363489</v>
      </c>
    </row>
    <row r="164" spans="1:5" x14ac:dyDescent="0.25">
      <c r="A164">
        <v>4</v>
      </c>
      <c r="B164">
        <f t="shared" si="24"/>
        <v>288</v>
      </c>
      <c r="C164">
        <f t="shared" si="25"/>
        <v>950</v>
      </c>
      <c r="D164" s="111">
        <f t="shared" si="26"/>
        <v>24.650709309369951</v>
      </c>
      <c r="E164" s="47">
        <f t="shared" si="27"/>
        <v>7.0254521531704359</v>
      </c>
    </row>
    <row r="165" spans="1:5" x14ac:dyDescent="0.25">
      <c r="A165">
        <v>5</v>
      </c>
      <c r="B165">
        <f t="shared" si="24"/>
        <v>288</v>
      </c>
      <c r="C165">
        <f t="shared" si="25"/>
        <v>950</v>
      </c>
      <c r="D165" s="111">
        <f t="shared" si="26"/>
        <v>30.81338663671244</v>
      </c>
      <c r="E165" s="47">
        <f t="shared" si="27"/>
        <v>8.7818151914630445</v>
      </c>
    </row>
    <row r="166" spans="1:5" x14ac:dyDescent="0.25">
      <c r="A166">
        <v>6</v>
      </c>
      <c r="B166">
        <f t="shared" si="24"/>
        <v>288</v>
      </c>
      <c r="C166">
        <f t="shared" si="25"/>
        <v>950</v>
      </c>
      <c r="D166" s="111">
        <f t="shared" si="26"/>
        <v>38.516733295890546</v>
      </c>
      <c r="E166" s="47">
        <f t="shared" si="27"/>
        <v>10.977268989328806</v>
      </c>
    </row>
    <row r="167" spans="1:5" x14ac:dyDescent="0.25">
      <c r="A167">
        <v>7</v>
      </c>
      <c r="B167">
        <f t="shared" si="24"/>
        <v>288</v>
      </c>
      <c r="C167">
        <f t="shared" si="25"/>
        <v>950</v>
      </c>
      <c r="D167" s="111">
        <f t="shared" si="26"/>
        <v>48.145916619863186</v>
      </c>
      <c r="E167" s="47">
        <f t="shared" si="27"/>
        <v>13.721586236661009</v>
      </c>
    </row>
    <row r="168" spans="1:5" x14ac:dyDescent="0.25">
      <c r="A168">
        <v>8</v>
      </c>
      <c r="B168">
        <f t="shared" si="24"/>
        <v>288</v>
      </c>
      <c r="C168">
        <f t="shared" si="25"/>
        <v>950</v>
      </c>
      <c r="D168" s="111">
        <f t="shared" si="26"/>
        <v>60.182395774828983</v>
      </c>
      <c r="E168" s="47">
        <f t="shared" si="27"/>
        <v>17.15198279582626</v>
      </c>
    </row>
    <row r="169" spans="1:5" x14ac:dyDescent="0.25">
      <c r="A169">
        <v>9</v>
      </c>
      <c r="B169">
        <f t="shared" si="24"/>
        <v>288</v>
      </c>
      <c r="C169">
        <f t="shared" si="25"/>
        <v>950</v>
      </c>
      <c r="D169" s="111">
        <f t="shared" si="26"/>
        <v>75.227994718536223</v>
      </c>
      <c r="E169" s="47">
        <f t="shared" si="27"/>
        <v>21.439978494782824</v>
      </c>
    </row>
    <row r="170" spans="1:5" x14ac:dyDescent="0.25">
      <c r="A170">
        <v>10</v>
      </c>
      <c r="B170">
        <f t="shared" si="24"/>
        <v>288</v>
      </c>
      <c r="C170">
        <f t="shared" si="25"/>
        <v>950</v>
      </c>
      <c r="D170" s="111">
        <f t="shared" si="26"/>
        <v>94.034993398170286</v>
      </c>
      <c r="E170" s="47">
        <f t="shared" si="27"/>
        <v>26.799973118478533</v>
      </c>
    </row>
    <row r="171" spans="1:5" x14ac:dyDescent="0.25">
      <c r="A171">
        <v>11</v>
      </c>
      <c r="B171">
        <f t="shared" si="24"/>
        <v>288</v>
      </c>
      <c r="C171">
        <f t="shared" si="25"/>
        <v>950</v>
      </c>
      <c r="D171" s="111">
        <f t="shared" si="26"/>
        <v>117.54374174771286</v>
      </c>
      <c r="E171" s="47">
        <f t="shared" si="27"/>
        <v>33.499966398098167</v>
      </c>
    </row>
    <row r="172" spans="1:5" x14ac:dyDescent="0.25">
      <c r="A172">
        <v>12</v>
      </c>
      <c r="B172">
        <f t="shared" si="24"/>
        <v>288</v>
      </c>
      <c r="C172">
        <f t="shared" si="25"/>
        <v>950</v>
      </c>
      <c r="D172" s="111">
        <f t="shared" si="26"/>
        <v>146.92967718464106</v>
      </c>
      <c r="E172" s="47">
        <f t="shared" si="27"/>
        <v>41.874957997622701</v>
      </c>
    </row>
    <row r="173" spans="1:5" x14ac:dyDescent="0.25">
      <c r="A173">
        <v>13</v>
      </c>
      <c r="B173">
        <f t="shared" si="24"/>
        <v>288</v>
      </c>
      <c r="C173">
        <f t="shared" si="25"/>
        <v>950</v>
      </c>
      <c r="D173" s="111">
        <f t="shared" si="26"/>
        <v>183.66209648080135</v>
      </c>
      <c r="E173" s="47">
        <f t="shared" si="27"/>
        <v>52.343697497028387</v>
      </c>
    </row>
    <row r="174" spans="1:5" x14ac:dyDescent="0.25">
      <c r="A174">
        <v>14</v>
      </c>
      <c r="B174">
        <f t="shared" si="24"/>
        <v>288</v>
      </c>
      <c r="C174">
        <f t="shared" si="25"/>
        <v>950</v>
      </c>
      <c r="D174" s="111">
        <f t="shared" si="26"/>
        <v>229.57762060100168</v>
      </c>
      <c r="E174" s="47">
        <f t="shared" si="27"/>
        <v>65.429621871285477</v>
      </c>
    </row>
    <row r="175" spans="1:5" x14ac:dyDescent="0.25">
      <c r="A175">
        <v>15</v>
      </c>
      <c r="B175">
        <f t="shared" si="24"/>
        <v>288</v>
      </c>
      <c r="C175">
        <f t="shared" si="25"/>
        <v>950</v>
      </c>
      <c r="D175" s="111">
        <f t="shared" si="26"/>
        <v>286.97202575125209</v>
      </c>
      <c r="E175" s="47">
        <f t="shared" si="27"/>
        <v>81.787027339106857</v>
      </c>
    </row>
    <row r="176" spans="1:5" s="108" customFormat="1" x14ac:dyDescent="0.25">
      <c r="D176" s="111"/>
      <c r="E176" s="124"/>
    </row>
    <row r="177" spans="1:11" s="108" customFormat="1" x14ac:dyDescent="0.25">
      <c r="A177" s="113" t="s">
        <v>104</v>
      </c>
    </row>
    <row r="178" spans="1:11" s="108" customFormat="1" x14ac:dyDescent="0.25">
      <c r="A178" s="113"/>
      <c r="G178" s="122" t="s">
        <v>77</v>
      </c>
      <c r="H178" s="122" t="s">
        <v>76</v>
      </c>
    </row>
    <row r="179" spans="1:11" s="108" customFormat="1" x14ac:dyDescent="0.25">
      <c r="A179" s="110" t="s">
        <v>7</v>
      </c>
      <c r="C179" s="122" t="s">
        <v>2</v>
      </c>
      <c r="D179" s="122" t="s">
        <v>3</v>
      </c>
      <c r="G179" s="122" t="s">
        <v>58</v>
      </c>
      <c r="H179" s="122" t="s">
        <v>58</v>
      </c>
    </row>
    <row r="180" spans="1:11" s="108" customFormat="1" ht="15.75" x14ac:dyDescent="0.25">
      <c r="A180" s="110" t="s">
        <v>85</v>
      </c>
      <c r="B180" s="115">
        <v>50</v>
      </c>
      <c r="C180" s="116">
        <v>2000</v>
      </c>
      <c r="D180" s="116">
        <v>8</v>
      </c>
      <c r="E180" s="117">
        <v>5000</v>
      </c>
      <c r="F180" s="118" t="s">
        <v>5</v>
      </c>
      <c r="G180" s="121">
        <v>8</v>
      </c>
      <c r="H180" s="133">
        <f>($G$5*0.9+$G$4*0.09+$G$3*0.01)/publicNodePercent</f>
        <v>80</v>
      </c>
      <c r="I180" s="119">
        <v>7</v>
      </c>
      <c r="J180" s="120">
        <v>0.1</v>
      </c>
      <c r="K180" s="120">
        <v>0.1</v>
      </c>
    </row>
    <row r="181" spans="1:11" s="108" customFormat="1" x14ac:dyDescent="0.25"/>
    <row r="182" spans="1:11" s="108" customFormat="1" x14ac:dyDescent="0.25">
      <c r="E182" s="109" t="s">
        <v>32</v>
      </c>
    </row>
    <row r="183" spans="1:11" s="108" customFormat="1" x14ac:dyDescent="0.25">
      <c r="A183" s="112" t="s">
        <v>8</v>
      </c>
      <c r="B183" s="109" t="s">
        <v>64</v>
      </c>
      <c r="C183" s="109" t="s">
        <v>65</v>
      </c>
      <c r="D183" s="109" t="s">
        <v>59</v>
      </c>
      <c r="E183" s="109" t="s">
        <v>33</v>
      </c>
    </row>
    <row r="184" spans="1:11" s="108" customFormat="1" x14ac:dyDescent="0.25">
      <c r="A184" s="108">
        <v>0</v>
      </c>
      <c r="B184" s="108">
        <f t="shared" ref="B184:B199" si="28">invSize*(outgoingConnections9+publicConnections9)</f>
        <v>3168</v>
      </c>
      <c r="C184" s="108">
        <f t="shared" ref="C184:C199" si="29">2*avgTrSize</f>
        <v>950</v>
      </c>
      <c r="D184" s="111">
        <f t="shared" ref="D184:D199" si="30">(bandwidth8p9*mbToGB*KBperGB*1000)*ongoingResourcePercentage8p9*POWER(1+bandwidthGrowth,A184)/(B184+C184)</f>
        <v>151.77270519669742</v>
      </c>
      <c r="E184" s="124">
        <f t="shared" ref="E184:E199" si="31">D184*avgTrSize*secondsPerBlock/1000/1000</f>
        <v>43.255220981058763</v>
      </c>
    </row>
    <row r="185" spans="1:11" s="108" customFormat="1" x14ac:dyDescent="0.25">
      <c r="A185" s="108">
        <v>1</v>
      </c>
      <c r="B185" s="108">
        <f t="shared" si="28"/>
        <v>3168</v>
      </c>
      <c r="C185" s="108">
        <f t="shared" si="29"/>
        <v>950</v>
      </c>
      <c r="D185" s="111">
        <f t="shared" si="30"/>
        <v>189.71588149587177</v>
      </c>
      <c r="E185" s="124">
        <f t="shared" si="31"/>
        <v>54.069026226323452</v>
      </c>
    </row>
    <row r="186" spans="1:11" s="108" customFormat="1" x14ac:dyDescent="0.25">
      <c r="A186" s="108">
        <v>2</v>
      </c>
      <c r="B186" s="108">
        <f t="shared" si="28"/>
        <v>3168</v>
      </c>
      <c r="C186" s="108">
        <f t="shared" si="29"/>
        <v>950</v>
      </c>
      <c r="D186" s="111">
        <f t="shared" si="30"/>
        <v>237.14485186983973</v>
      </c>
      <c r="E186" s="124">
        <f t="shared" si="31"/>
        <v>67.58628278290432</v>
      </c>
    </row>
    <row r="187" spans="1:11" s="108" customFormat="1" x14ac:dyDescent="0.25">
      <c r="A187" s="108">
        <v>3</v>
      </c>
      <c r="B187" s="108">
        <f t="shared" si="28"/>
        <v>3168</v>
      </c>
      <c r="C187" s="108">
        <f t="shared" si="29"/>
        <v>950</v>
      </c>
      <c r="D187" s="111">
        <f t="shared" si="30"/>
        <v>296.43106483729969</v>
      </c>
      <c r="E187" s="124">
        <f t="shared" si="31"/>
        <v>84.482853478630403</v>
      </c>
    </row>
    <row r="188" spans="1:11" s="108" customFormat="1" x14ac:dyDescent="0.25">
      <c r="A188" s="108">
        <v>4</v>
      </c>
      <c r="B188" s="108">
        <f t="shared" si="28"/>
        <v>3168</v>
      </c>
      <c r="C188" s="108">
        <f t="shared" si="29"/>
        <v>950</v>
      </c>
      <c r="D188" s="111">
        <f t="shared" si="30"/>
        <v>370.53883104662458</v>
      </c>
      <c r="E188" s="124">
        <f t="shared" si="31"/>
        <v>105.60356684828801</v>
      </c>
    </row>
    <row r="189" spans="1:11" s="108" customFormat="1" x14ac:dyDescent="0.25">
      <c r="A189" s="108">
        <v>5</v>
      </c>
      <c r="B189" s="108">
        <f t="shared" si="28"/>
        <v>3168</v>
      </c>
      <c r="C189" s="108">
        <f t="shared" si="29"/>
        <v>950</v>
      </c>
      <c r="D189" s="111">
        <f t="shared" si="30"/>
        <v>463.17353880828074</v>
      </c>
      <c r="E189" s="124">
        <f t="shared" si="31"/>
        <v>132.00445856036001</v>
      </c>
    </row>
    <row r="190" spans="1:11" s="108" customFormat="1" x14ac:dyDescent="0.25">
      <c r="A190" s="108">
        <v>6</v>
      </c>
      <c r="B190" s="108">
        <f t="shared" si="28"/>
        <v>3168</v>
      </c>
      <c r="C190" s="108">
        <f t="shared" si="29"/>
        <v>950</v>
      </c>
      <c r="D190" s="111">
        <f t="shared" si="30"/>
        <v>578.96692351035085</v>
      </c>
      <c r="E190" s="124">
        <f t="shared" si="31"/>
        <v>165.00557320045002</v>
      </c>
    </row>
    <row r="191" spans="1:11" s="108" customFormat="1" x14ac:dyDescent="0.25">
      <c r="A191" s="108">
        <v>7</v>
      </c>
      <c r="B191" s="108">
        <f t="shared" si="28"/>
        <v>3168</v>
      </c>
      <c r="C191" s="108">
        <f t="shared" si="29"/>
        <v>950</v>
      </c>
      <c r="D191" s="111">
        <f t="shared" si="30"/>
        <v>723.70865438793862</v>
      </c>
      <c r="E191" s="124">
        <f t="shared" si="31"/>
        <v>206.2569665005625</v>
      </c>
    </row>
    <row r="192" spans="1:11" s="108" customFormat="1" x14ac:dyDescent="0.25">
      <c r="A192" s="108">
        <v>8</v>
      </c>
      <c r="B192" s="108">
        <f t="shared" si="28"/>
        <v>3168</v>
      </c>
      <c r="C192" s="108">
        <f t="shared" si="29"/>
        <v>950</v>
      </c>
      <c r="D192" s="111">
        <f t="shared" si="30"/>
        <v>904.63581798492328</v>
      </c>
      <c r="E192" s="124">
        <f t="shared" si="31"/>
        <v>257.82120812570315</v>
      </c>
    </row>
    <row r="193" spans="1:11" s="108" customFormat="1" x14ac:dyDescent="0.25">
      <c r="A193" s="108">
        <v>9</v>
      </c>
      <c r="B193" s="108">
        <f t="shared" si="28"/>
        <v>3168</v>
      </c>
      <c r="C193" s="108">
        <f t="shared" si="29"/>
        <v>950</v>
      </c>
      <c r="D193" s="111">
        <f t="shared" si="30"/>
        <v>1130.794772481154</v>
      </c>
      <c r="E193" s="124">
        <f t="shared" si="31"/>
        <v>322.27651015712894</v>
      </c>
    </row>
    <row r="194" spans="1:11" s="108" customFormat="1" x14ac:dyDescent="0.25">
      <c r="A194" s="108">
        <v>10</v>
      </c>
      <c r="B194" s="108">
        <f t="shared" si="28"/>
        <v>3168</v>
      </c>
      <c r="C194" s="108">
        <f t="shared" si="29"/>
        <v>950</v>
      </c>
      <c r="D194" s="111">
        <f t="shared" si="30"/>
        <v>1413.4934656014427</v>
      </c>
      <c r="E194" s="124">
        <f t="shared" si="31"/>
        <v>402.84563769641119</v>
      </c>
    </row>
    <row r="195" spans="1:11" s="108" customFormat="1" x14ac:dyDescent="0.25">
      <c r="A195" s="108">
        <v>11</v>
      </c>
      <c r="B195" s="108">
        <f t="shared" si="28"/>
        <v>3168</v>
      </c>
      <c r="C195" s="108">
        <f t="shared" si="29"/>
        <v>950</v>
      </c>
      <c r="D195" s="111">
        <f t="shared" si="30"/>
        <v>1766.8668320018032</v>
      </c>
      <c r="E195" s="124">
        <f t="shared" si="31"/>
        <v>503.55704712051397</v>
      </c>
    </row>
    <row r="196" spans="1:11" s="108" customFormat="1" x14ac:dyDescent="0.25">
      <c r="A196" s="108">
        <v>12</v>
      </c>
      <c r="B196" s="108">
        <f t="shared" si="28"/>
        <v>3168</v>
      </c>
      <c r="C196" s="108">
        <f t="shared" si="29"/>
        <v>950</v>
      </c>
      <c r="D196" s="111">
        <f t="shared" si="30"/>
        <v>2208.5835400022543</v>
      </c>
      <c r="E196" s="124">
        <f t="shared" si="31"/>
        <v>629.44630890064241</v>
      </c>
    </row>
    <row r="197" spans="1:11" s="108" customFormat="1" x14ac:dyDescent="0.25">
      <c r="A197" s="108">
        <v>13</v>
      </c>
      <c r="B197" s="108">
        <f t="shared" si="28"/>
        <v>3168</v>
      </c>
      <c r="C197" s="108">
        <f t="shared" si="29"/>
        <v>950</v>
      </c>
      <c r="D197" s="111">
        <f t="shared" si="30"/>
        <v>2760.7294250028176</v>
      </c>
      <c r="E197" s="124">
        <f t="shared" si="31"/>
        <v>786.80788612580307</v>
      </c>
    </row>
    <row r="198" spans="1:11" s="108" customFormat="1" x14ac:dyDescent="0.25">
      <c r="A198" s="108">
        <v>14</v>
      </c>
      <c r="B198" s="108">
        <f t="shared" si="28"/>
        <v>3168</v>
      </c>
      <c r="C198" s="108">
        <f t="shared" si="29"/>
        <v>950</v>
      </c>
      <c r="D198" s="111">
        <f t="shared" si="30"/>
        <v>3450.9117812535219</v>
      </c>
      <c r="E198" s="124">
        <f t="shared" si="31"/>
        <v>983.50985765725375</v>
      </c>
    </row>
    <row r="199" spans="1:11" s="108" customFormat="1" x14ac:dyDescent="0.25">
      <c r="A199" s="108">
        <v>15</v>
      </c>
      <c r="B199" s="108">
        <f t="shared" si="28"/>
        <v>3168</v>
      </c>
      <c r="C199" s="108">
        <f t="shared" si="29"/>
        <v>950</v>
      </c>
      <c r="D199" s="111">
        <f t="shared" si="30"/>
        <v>4313.6397265669029</v>
      </c>
      <c r="E199" s="124">
        <f t="shared" si="31"/>
        <v>1229.3873220715675</v>
      </c>
    </row>
    <row r="201" spans="1:11" x14ac:dyDescent="0.25">
      <c r="A201" s="11" t="s">
        <v>55</v>
      </c>
    </row>
    <row r="202" spans="1:11" x14ac:dyDescent="0.25">
      <c r="A202" s="11"/>
      <c r="G202" s="39" t="s">
        <v>77</v>
      </c>
      <c r="H202" s="39" t="s">
        <v>76</v>
      </c>
    </row>
    <row r="203" spans="1:11" x14ac:dyDescent="0.25">
      <c r="A203" s="2" t="s">
        <v>7</v>
      </c>
      <c r="C203" s="39" t="s">
        <v>2</v>
      </c>
      <c r="D203" s="39" t="s">
        <v>3</v>
      </c>
      <c r="G203" s="39" t="s">
        <v>58</v>
      </c>
      <c r="H203" s="39" t="s">
        <v>58</v>
      </c>
    </row>
    <row r="204" spans="1:11" ht="15.75" x14ac:dyDescent="0.25">
      <c r="A204" s="2" t="s">
        <v>84</v>
      </c>
      <c r="B204" s="16">
        <v>1</v>
      </c>
      <c r="C204" s="17">
        <v>128</v>
      </c>
      <c r="D204" s="17">
        <v>2</v>
      </c>
      <c r="E204" s="18">
        <v>200</v>
      </c>
      <c r="F204" s="19" t="s">
        <v>5</v>
      </c>
      <c r="G204" s="22">
        <v>8</v>
      </c>
      <c r="H204" s="22">
        <v>0</v>
      </c>
      <c r="I204" s="20">
        <v>7</v>
      </c>
      <c r="J204" s="21">
        <v>0.75</v>
      </c>
      <c r="K204" s="21">
        <v>0.1</v>
      </c>
    </row>
    <row r="206" spans="1:11" x14ac:dyDescent="0.25">
      <c r="C206" s="1" t="s">
        <v>31</v>
      </c>
    </row>
    <row r="207" spans="1:11" x14ac:dyDescent="0.25">
      <c r="A207" s="4" t="s">
        <v>8</v>
      </c>
      <c r="B207" s="1" t="s">
        <v>56</v>
      </c>
      <c r="C207" s="1" t="s">
        <v>33</v>
      </c>
      <c r="F207" s="1"/>
    </row>
    <row r="208" spans="1:11" x14ac:dyDescent="0.25">
      <c r="A208">
        <v>0</v>
      </c>
      <c r="B208" s="44">
        <f t="shared" ref="B208:B223" si="32">throughput5*ongoingResourcePercentage5*POWER(1+cpuGrowth,A208)</f>
        <v>20</v>
      </c>
      <c r="C208" s="43">
        <f t="shared" ref="C208:C223" si="33">B208*secondsPerBlock*avgTrSize/1000/1000</f>
        <v>5.7</v>
      </c>
      <c r="F208" s="1"/>
    </row>
    <row r="209" spans="1:8" x14ac:dyDescent="0.25">
      <c r="A209">
        <v>1</v>
      </c>
      <c r="B209" s="44">
        <f t="shared" si="32"/>
        <v>23.4</v>
      </c>
      <c r="C209" s="43">
        <f t="shared" si="33"/>
        <v>6.6689999999999996</v>
      </c>
      <c r="F209" s="7"/>
    </row>
    <row r="210" spans="1:8" x14ac:dyDescent="0.25">
      <c r="A210">
        <v>2</v>
      </c>
      <c r="B210" s="44">
        <f t="shared" si="32"/>
        <v>27.377999999999997</v>
      </c>
      <c r="C210" s="43">
        <f t="shared" si="33"/>
        <v>7.8027299999999995</v>
      </c>
      <c r="F210" s="7"/>
      <c r="H210" s="1"/>
    </row>
    <row r="211" spans="1:8" x14ac:dyDescent="0.25">
      <c r="A211">
        <v>3</v>
      </c>
      <c r="B211" s="44">
        <f t="shared" si="32"/>
        <v>32.032259999999994</v>
      </c>
      <c r="C211" s="43">
        <f t="shared" si="33"/>
        <v>9.1291940999999976</v>
      </c>
      <c r="F211" s="7"/>
    </row>
    <row r="212" spans="1:8" x14ac:dyDescent="0.25">
      <c r="A212">
        <v>4</v>
      </c>
      <c r="B212" s="44">
        <f t="shared" si="32"/>
        <v>37.477744199999989</v>
      </c>
      <c r="C212" s="43">
        <f t="shared" si="33"/>
        <v>10.681157096999998</v>
      </c>
      <c r="F212" s="7"/>
    </row>
    <row r="213" spans="1:8" x14ac:dyDescent="0.25">
      <c r="A213">
        <v>5</v>
      </c>
      <c r="B213" s="44">
        <f t="shared" si="32"/>
        <v>43.848960713999986</v>
      </c>
      <c r="C213" s="43">
        <f t="shared" si="33"/>
        <v>12.496953803489996</v>
      </c>
      <c r="F213" s="7"/>
    </row>
    <row r="214" spans="1:8" x14ac:dyDescent="0.25">
      <c r="A214">
        <v>6</v>
      </c>
      <c r="B214" s="44">
        <f t="shared" si="32"/>
        <v>51.303284035379981</v>
      </c>
      <c r="C214" s="43">
        <f t="shared" si="33"/>
        <v>14.621435950083294</v>
      </c>
      <c r="F214" s="7"/>
    </row>
    <row r="215" spans="1:8" x14ac:dyDescent="0.25">
      <c r="A215">
        <v>7</v>
      </c>
      <c r="B215" s="44">
        <f t="shared" si="32"/>
        <v>60.024842321394573</v>
      </c>
      <c r="C215" s="43">
        <f t="shared" si="33"/>
        <v>17.107080061597451</v>
      </c>
      <c r="F215" s="14"/>
    </row>
    <row r="216" spans="1:8" x14ac:dyDescent="0.25">
      <c r="A216">
        <v>8</v>
      </c>
      <c r="B216" s="44">
        <f t="shared" si="32"/>
        <v>70.229065516031639</v>
      </c>
      <c r="C216" s="43">
        <f t="shared" si="33"/>
        <v>20.015283672069017</v>
      </c>
      <c r="F216" s="7"/>
    </row>
    <row r="217" spans="1:8" x14ac:dyDescent="0.25">
      <c r="A217">
        <v>9</v>
      </c>
      <c r="B217" s="44">
        <f t="shared" si="32"/>
        <v>82.168006653757004</v>
      </c>
      <c r="C217" s="43">
        <f t="shared" si="33"/>
        <v>23.417881896320743</v>
      </c>
      <c r="F217" s="7"/>
    </row>
    <row r="218" spans="1:8" x14ac:dyDescent="0.25">
      <c r="A218">
        <v>10</v>
      </c>
      <c r="B218" s="44">
        <f t="shared" si="32"/>
        <v>96.136567784895703</v>
      </c>
      <c r="C218" s="43">
        <f t="shared" si="33"/>
        <v>27.398921818695278</v>
      </c>
      <c r="F218" s="7"/>
    </row>
    <row r="219" spans="1:8" x14ac:dyDescent="0.25">
      <c r="A219">
        <v>11</v>
      </c>
      <c r="B219" s="44">
        <f t="shared" si="32"/>
        <v>112.47978430832796</v>
      </c>
      <c r="C219" s="43">
        <f t="shared" si="33"/>
        <v>32.05673852787347</v>
      </c>
      <c r="F219" s="7"/>
    </row>
    <row r="220" spans="1:8" x14ac:dyDescent="0.25">
      <c r="A220">
        <v>12</v>
      </c>
      <c r="B220" s="44">
        <f t="shared" si="32"/>
        <v>131.60134764074368</v>
      </c>
      <c r="C220" s="43">
        <f t="shared" si="33"/>
        <v>37.506384077611948</v>
      </c>
      <c r="F220" s="7"/>
    </row>
    <row r="221" spans="1:8" x14ac:dyDescent="0.25">
      <c r="A221">
        <v>13</v>
      </c>
      <c r="B221" s="44">
        <f t="shared" si="32"/>
        <v>153.97357673967011</v>
      </c>
      <c r="C221" s="43">
        <f t="shared" si="33"/>
        <v>43.882469370805978</v>
      </c>
      <c r="F221" s="7"/>
    </row>
    <row r="222" spans="1:8" x14ac:dyDescent="0.25">
      <c r="A222">
        <v>14</v>
      </c>
      <c r="B222" s="44">
        <f t="shared" si="32"/>
        <v>180.14908478541403</v>
      </c>
      <c r="C222" s="43">
        <f t="shared" si="33"/>
        <v>51.342489163842998</v>
      </c>
      <c r="F222" s="7"/>
    </row>
    <row r="223" spans="1:8" x14ac:dyDescent="0.25">
      <c r="A223">
        <v>15</v>
      </c>
      <c r="B223" s="44">
        <f t="shared" si="32"/>
        <v>210.7744291989344</v>
      </c>
      <c r="C223" s="43">
        <f t="shared" si="33"/>
        <v>60.070712321696298</v>
      </c>
      <c r="F223" s="7"/>
    </row>
    <row r="225" spans="1:11" x14ac:dyDescent="0.25">
      <c r="A225" s="11" t="s">
        <v>80</v>
      </c>
    </row>
    <row r="226" spans="1:11" x14ac:dyDescent="0.25">
      <c r="A226" s="11"/>
      <c r="G226" s="39" t="s">
        <v>77</v>
      </c>
      <c r="H226" s="39" t="s">
        <v>76</v>
      </c>
    </row>
    <row r="227" spans="1:11" x14ac:dyDescent="0.25">
      <c r="A227" s="2" t="s">
        <v>7</v>
      </c>
      <c r="C227" s="39" t="s">
        <v>2</v>
      </c>
      <c r="D227" s="39" t="s">
        <v>3</v>
      </c>
      <c r="G227" s="39" t="s">
        <v>58</v>
      </c>
      <c r="H227" s="39" t="s">
        <v>58</v>
      </c>
    </row>
    <row r="228" spans="1:11" ht="15.75" x14ac:dyDescent="0.25">
      <c r="A228" s="2" t="s">
        <v>84</v>
      </c>
      <c r="B228" s="16">
        <v>1</v>
      </c>
      <c r="C228" s="17">
        <v>128</v>
      </c>
      <c r="D228" s="17">
        <v>2</v>
      </c>
      <c r="E228" s="18">
        <v>200</v>
      </c>
      <c r="F228" s="19" t="s">
        <v>5</v>
      </c>
      <c r="G228" s="22">
        <v>8</v>
      </c>
      <c r="H228" s="22">
        <v>0</v>
      </c>
      <c r="I228" s="20">
        <v>7</v>
      </c>
      <c r="J228" s="21">
        <v>0.75</v>
      </c>
      <c r="K228" s="21">
        <v>0.1</v>
      </c>
    </row>
    <row r="230" spans="1:11" x14ac:dyDescent="0.25">
      <c r="B230" s="1" t="s">
        <v>32</v>
      </c>
      <c r="C230" s="1" t="s">
        <v>46</v>
      </c>
      <c r="E230" s="1"/>
      <c r="F230" s="1"/>
      <c r="G230" s="1"/>
    </row>
    <row r="231" spans="1:11" x14ac:dyDescent="0.25">
      <c r="A231" s="4" t="s">
        <v>8</v>
      </c>
      <c r="B231" s="1" t="s">
        <v>36</v>
      </c>
      <c r="C231" s="1" t="s">
        <v>36</v>
      </c>
      <c r="E231" s="1"/>
      <c r="F231" s="1"/>
      <c r="G231" s="1"/>
      <c r="H231" s="1"/>
    </row>
    <row r="232" spans="1:11" x14ac:dyDescent="0.25">
      <c r="A232">
        <v>0</v>
      </c>
      <c r="B232" s="7">
        <f t="shared" ref="B232:B247" si="34">disk6*ongoingResourcePercent6*POWER(1+diskGrowth, A232)</f>
        <v>12.8</v>
      </c>
      <c r="C232" s="42">
        <f xml:space="preserve"> utxoSize</f>
        <v>3</v>
      </c>
      <c r="E232" s="7"/>
      <c r="F232" s="63"/>
      <c r="G232" s="64"/>
      <c r="H232" s="64"/>
    </row>
    <row r="233" spans="1:11" x14ac:dyDescent="0.25">
      <c r="A233">
        <v>1</v>
      </c>
      <c r="B233" s="7">
        <f t="shared" si="34"/>
        <v>16</v>
      </c>
      <c r="C233" s="63">
        <f xml:space="preserve"> C232 + MIN(C232*utxoGrowth, curMaxBlocksize*secondsPerYear/secondsPerBlock/KBperGB)</f>
        <v>4.5</v>
      </c>
      <c r="E233" s="7"/>
      <c r="F233" s="7"/>
      <c r="G233" s="13"/>
      <c r="H233" s="6"/>
    </row>
    <row r="234" spans="1:11" x14ac:dyDescent="0.25">
      <c r="A234">
        <v>2</v>
      </c>
      <c r="B234" s="7">
        <f t="shared" si="34"/>
        <v>20</v>
      </c>
      <c r="C234" s="63">
        <f xml:space="preserve"> C233 + MIN(C233*utxoGrowth, curMaxBlocksize*secondsPerYear/secondsPerBlock/KBperGB)</f>
        <v>6.75</v>
      </c>
      <c r="E234" s="7"/>
      <c r="F234" s="7"/>
      <c r="G234" s="13"/>
      <c r="H234" s="6"/>
    </row>
    <row r="235" spans="1:11" x14ac:dyDescent="0.25">
      <c r="A235">
        <v>3</v>
      </c>
      <c r="B235" s="7">
        <f t="shared" si="34"/>
        <v>25</v>
      </c>
      <c r="C235" s="63">
        <f t="shared" ref="C235:C247" si="35" xml:space="preserve"> C234 + MIN(C234*utxoGrowth, curMaxBlocksize*secondsPerYear/secondsPerBlock/KBperGB)</f>
        <v>10.125</v>
      </c>
      <c r="E235" s="7"/>
      <c r="F235" s="7"/>
      <c r="G235" s="13"/>
      <c r="H235" s="6"/>
    </row>
    <row r="236" spans="1:11" x14ac:dyDescent="0.25">
      <c r="A236">
        <v>4</v>
      </c>
      <c r="B236" s="7">
        <f t="shared" si="34"/>
        <v>31.25</v>
      </c>
      <c r="C236" s="63">
        <f t="shared" si="35"/>
        <v>15.1875</v>
      </c>
      <c r="E236" s="7"/>
      <c r="F236" s="7"/>
      <c r="G236" s="13"/>
      <c r="H236" s="6"/>
    </row>
    <row r="237" spans="1:11" x14ac:dyDescent="0.25">
      <c r="A237">
        <v>5</v>
      </c>
      <c r="B237" s="7">
        <f t="shared" si="34"/>
        <v>39.0625</v>
      </c>
      <c r="C237" s="63">
        <f t="shared" si="35"/>
        <v>22.78125</v>
      </c>
      <c r="E237" s="7"/>
      <c r="F237" s="7"/>
      <c r="G237" s="13"/>
      <c r="H237" s="6"/>
    </row>
    <row r="238" spans="1:11" x14ac:dyDescent="0.25">
      <c r="A238">
        <v>6</v>
      </c>
      <c r="B238" s="7">
        <f t="shared" si="34"/>
        <v>48.828125</v>
      </c>
      <c r="C238" s="63">
        <f t="shared" si="35"/>
        <v>34.171875</v>
      </c>
      <c r="E238" s="7"/>
      <c r="F238" s="7"/>
      <c r="G238" s="13"/>
      <c r="H238" s="6"/>
    </row>
    <row r="239" spans="1:11" x14ac:dyDescent="0.25">
      <c r="A239">
        <v>7</v>
      </c>
      <c r="B239" s="7">
        <f t="shared" si="34"/>
        <v>61.03515625</v>
      </c>
      <c r="C239" s="63">
        <f t="shared" si="35"/>
        <v>51.2578125</v>
      </c>
      <c r="E239" s="7"/>
      <c r="F239" s="7"/>
      <c r="G239" s="13"/>
      <c r="H239" s="6"/>
    </row>
    <row r="240" spans="1:11" x14ac:dyDescent="0.25">
      <c r="A240">
        <v>8</v>
      </c>
      <c r="B240" s="7">
        <f t="shared" si="34"/>
        <v>76.2939453125</v>
      </c>
      <c r="C240" s="63">
        <f t="shared" si="35"/>
        <v>76.88671875</v>
      </c>
      <c r="E240" s="7"/>
      <c r="F240" s="7"/>
      <c r="G240" s="13"/>
      <c r="H240" s="6"/>
    </row>
    <row r="241" spans="1:11" x14ac:dyDescent="0.25">
      <c r="A241">
        <v>9</v>
      </c>
      <c r="B241" s="7">
        <f t="shared" si="34"/>
        <v>95.367431640625</v>
      </c>
      <c r="C241" s="63">
        <f t="shared" si="35"/>
        <v>115.330078125</v>
      </c>
      <c r="E241" s="7"/>
      <c r="F241" s="7"/>
      <c r="G241" s="13"/>
      <c r="H241" s="6"/>
    </row>
    <row r="242" spans="1:11" x14ac:dyDescent="0.25">
      <c r="A242">
        <v>10</v>
      </c>
      <c r="B242" s="7">
        <f t="shared" si="34"/>
        <v>119.20928955078125</v>
      </c>
      <c r="C242" s="63">
        <f t="shared" si="35"/>
        <v>172.9951171875</v>
      </c>
      <c r="E242" s="7"/>
      <c r="F242" s="7"/>
      <c r="G242" s="13"/>
      <c r="H242" s="6"/>
    </row>
    <row r="243" spans="1:11" x14ac:dyDescent="0.25">
      <c r="A243">
        <v>11</v>
      </c>
      <c r="B243" s="7">
        <f t="shared" si="34"/>
        <v>149.01161193847656</v>
      </c>
      <c r="C243" s="63">
        <f t="shared" si="35"/>
        <v>259.49267578125</v>
      </c>
      <c r="E243" s="7"/>
      <c r="F243" s="7"/>
      <c r="G243" s="13"/>
      <c r="H243" s="6"/>
    </row>
    <row r="244" spans="1:11" x14ac:dyDescent="0.25">
      <c r="A244">
        <v>12</v>
      </c>
      <c r="B244" s="7">
        <f t="shared" si="34"/>
        <v>186.2645149230957</v>
      </c>
      <c r="C244" s="63">
        <f t="shared" si="35"/>
        <v>364.61267578125</v>
      </c>
      <c r="E244" s="7"/>
      <c r="F244" s="7"/>
      <c r="G244" s="13"/>
      <c r="H244" s="6"/>
    </row>
    <row r="245" spans="1:11" x14ac:dyDescent="0.25">
      <c r="A245">
        <v>13</v>
      </c>
      <c r="B245" s="7">
        <f t="shared" si="34"/>
        <v>232.83064365386963</v>
      </c>
      <c r="C245" s="63">
        <f t="shared" si="35"/>
        <v>469.73267578125001</v>
      </c>
      <c r="E245" s="7"/>
      <c r="F245" s="7"/>
      <c r="G245" s="13"/>
      <c r="H245" s="6"/>
    </row>
    <row r="246" spans="1:11" x14ac:dyDescent="0.25">
      <c r="A246">
        <v>14</v>
      </c>
      <c r="B246" s="7">
        <f t="shared" si="34"/>
        <v>291.03830456733704</v>
      </c>
      <c r="C246" s="63">
        <f t="shared" si="35"/>
        <v>574.85267578125001</v>
      </c>
      <c r="E246" s="7"/>
      <c r="F246" s="7"/>
      <c r="G246" s="13"/>
      <c r="H246" s="6"/>
    </row>
    <row r="247" spans="1:11" x14ac:dyDescent="0.25">
      <c r="A247">
        <v>15</v>
      </c>
      <c r="B247" s="7">
        <f t="shared" si="34"/>
        <v>363.7978807091713</v>
      </c>
      <c r="C247" s="63">
        <f t="shared" si="35"/>
        <v>679.97267578125002</v>
      </c>
      <c r="E247" s="7"/>
      <c r="F247" s="7"/>
      <c r="G247" s="13"/>
      <c r="H247" s="6"/>
    </row>
    <row r="249" spans="1:11" x14ac:dyDescent="0.25">
      <c r="A249" s="11" t="s">
        <v>75</v>
      </c>
    </row>
    <row r="250" spans="1:11" x14ac:dyDescent="0.25">
      <c r="A250" s="11"/>
      <c r="G250" s="39" t="s">
        <v>77</v>
      </c>
      <c r="H250" s="39" t="s">
        <v>76</v>
      </c>
    </row>
    <row r="251" spans="1:11" x14ac:dyDescent="0.25">
      <c r="A251" s="2" t="s">
        <v>7</v>
      </c>
      <c r="C251" s="39" t="s">
        <v>2</v>
      </c>
      <c r="D251" s="39" t="s">
        <v>3</v>
      </c>
      <c r="G251" s="39" t="s">
        <v>58</v>
      </c>
      <c r="H251" s="39" t="s">
        <v>58</v>
      </c>
    </row>
    <row r="252" spans="1:11" ht="15.75" x14ac:dyDescent="0.25">
      <c r="A252" s="2" t="s">
        <v>85</v>
      </c>
      <c r="B252" s="16">
        <v>50</v>
      </c>
      <c r="C252" s="116">
        <v>2000</v>
      </c>
      <c r="D252" s="17">
        <v>8</v>
      </c>
      <c r="E252" s="18">
        <v>5000</v>
      </c>
      <c r="F252" s="19" t="s">
        <v>5</v>
      </c>
      <c r="G252" s="22">
        <v>8</v>
      </c>
      <c r="H252" s="62">
        <f>($G$5*0.9+$G$4*0.09+$G$3*0.01)/publicNodePercent</f>
        <v>80</v>
      </c>
      <c r="I252" s="20">
        <v>7</v>
      </c>
      <c r="J252" s="21">
        <v>0.1</v>
      </c>
      <c r="K252" s="21">
        <v>0.1</v>
      </c>
    </row>
    <row r="254" spans="1:11" x14ac:dyDescent="0.25">
      <c r="B254" s="1" t="s">
        <v>46</v>
      </c>
      <c r="C254" s="1" t="s">
        <v>40</v>
      </c>
      <c r="D254" s="1"/>
      <c r="E254" s="1" t="s">
        <v>32</v>
      </c>
    </row>
    <row r="255" spans="1:11" x14ac:dyDescent="0.25">
      <c r="A255" s="4" t="s">
        <v>8</v>
      </c>
      <c r="B255" s="1" t="s">
        <v>36</v>
      </c>
      <c r="C255" s="1" t="s">
        <v>51</v>
      </c>
      <c r="D255" s="1" t="s">
        <v>54</v>
      </c>
      <c r="E255" s="1" t="s">
        <v>33</v>
      </c>
      <c r="F255" s="1" t="s">
        <v>21</v>
      </c>
    </row>
    <row r="256" spans="1:11" x14ac:dyDescent="0.25">
      <c r="A256">
        <v>0</v>
      </c>
      <c r="B256" s="42">
        <f xml:space="preserve"> utxoSize</f>
        <v>3</v>
      </c>
      <c r="C256" s="7">
        <f t="shared" ref="C256:C271" si="36">disk7*ongoingResourcePercent7*POWER(1+diskGrowth, A256) - B256</f>
        <v>197</v>
      </c>
      <c r="D256" s="60"/>
      <c r="E256" s="61"/>
      <c r="F256" s="61"/>
    </row>
    <row r="257" spans="1:6" x14ac:dyDescent="0.25">
      <c r="A257">
        <v>1</v>
      </c>
      <c r="B257" s="42">
        <f xml:space="preserve"> B256 + B256*utxoGrowth</f>
        <v>4.5</v>
      </c>
      <c r="C257" s="7">
        <f t="shared" si="36"/>
        <v>245.5</v>
      </c>
      <c r="D257" s="7">
        <f>C257-C256</f>
        <v>48.5</v>
      </c>
      <c r="E257" s="13">
        <f t="shared" ref="E257:E271" si="37">D257*1000*1000*secondsPerBlock/secondsPerYear</f>
        <v>922.75494672754951</v>
      </c>
      <c r="F257" s="6">
        <f t="shared" ref="F257:F271" si="38">E257*1000/secondsPerBlock/avgTrSize</f>
        <v>3.2377366551843845</v>
      </c>
    </row>
    <row r="258" spans="1:6" x14ac:dyDescent="0.25">
      <c r="A258">
        <v>2</v>
      </c>
      <c r="B258" s="7">
        <f t="shared" ref="B258:B271" si="39" xml:space="preserve"> B257 + MIN(B257*utxoGrowth,D257)</f>
        <v>6.75</v>
      </c>
      <c r="C258" s="7">
        <f t="shared" si="36"/>
        <v>305.75</v>
      </c>
      <c r="D258" s="7">
        <f t="shared" ref="D258:D271" si="40">C258-C257</f>
        <v>60.25</v>
      </c>
      <c r="E258" s="13">
        <f t="shared" si="37"/>
        <v>1146.3089802130899</v>
      </c>
      <c r="F258" s="6">
        <f t="shared" si="38"/>
        <v>4.0221367726775084</v>
      </c>
    </row>
    <row r="259" spans="1:6" x14ac:dyDescent="0.25">
      <c r="A259">
        <v>3</v>
      </c>
      <c r="B259" s="7">
        <f t="shared" si="39"/>
        <v>10.125</v>
      </c>
      <c r="C259" s="7">
        <f t="shared" si="36"/>
        <v>380.5</v>
      </c>
      <c r="D259" s="7">
        <f t="shared" si="40"/>
        <v>74.75</v>
      </c>
      <c r="E259" s="13">
        <f t="shared" si="37"/>
        <v>1422.1841704718418</v>
      </c>
      <c r="F259" s="6">
        <f t="shared" si="38"/>
        <v>4.9901198963924269</v>
      </c>
    </row>
    <row r="260" spans="1:6" x14ac:dyDescent="0.25">
      <c r="A260">
        <v>4</v>
      </c>
      <c r="B260" s="7">
        <f t="shared" si="39"/>
        <v>15.1875</v>
      </c>
      <c r="C260" s="7">
        <f t="shared" si="36"/>
        <v>473.09375</v>
      </c>
      <c r="D260" s="7">
        <f t="shared" si="40"/>
        <v>92.59375</v>
      </c>
      <c r="E260" s="13">
        <f t="shared" si="37"/>
        <v>1761.6771308980212</v>
      </c>
      <c r="F260" s="6">
        <f t="shared" si="38"/>
        <v>6.1813232663088469</v>
      </c>
    </row>
    <row r="261" spans="1:6" x14ac:dyDescent="0.25">
      <c r="A261">
        <v>5</v>
      </c>
      <c r="B261" s="7">
        <f t="shared" si="39"/>
        <v>22.78125</v>
      </c>
      <c r="C261" s="7">
        <f t="shared" si="36"/>
        <v>587.5703125</v>
      </c>
      <c r="D261" s="7">
        <f t="shared" si="40"/>
        <v>114.4765625</v>
      </c>
      <c r="E261" s="13">
        <f t="shared" si="37"/>
        <v>2178.0167903348556</v>
      </c>
      <c r="F261" s="6">
        <f t="shared" si="38"/>
        <v>7.6421641766135284</v>
      </c>
    </row>
    <row r="262" spans="1:6" x14ac:dyDescent="0.25">
      <c r="A262">
        <v>6</v>
      </c>
      <c r="B262" s="7">
        <f t="shared" si="39"/>
        <v>34.171875</v>
      </c>
      <c r="C262" s="7">
        <f t="shared" si="36"/>
        <v>728.767578125</v>
      </c>
      <c r="D262" s="7">
        <f t="shared" si="40"/>
        <v>141.197265625</v>
      </c>
      <c r="E262" s="13">
        <f t="shared" si="37"/>
        <v>2686.4015529870626</v>
      </c>
      <c r="F262" s="6">
        <f t="shared" si="38"/>
        <v>9.4259703613581127</v>
      </c>
    </row>
    <row r="263" spans="1:6" x14ac:dyDescent="0.25">
      <c r="A263">
        <v>7</v>
      </c>
      <c r="B263" s="7">
        <f t="shared" si="39"/>
        <v>51.2578125</v>
      </c>
      <c r="C263" s="7">
        <f t="shared" si="36"/>
        <v>902.41650390625</v>
      </c>
      <c r="D263" s="7">
        <f t="shared" si="40"/>
        <v>173.64892578125</v>
      </c>
      <c r="E263" s="13">
        <f t="shared" si="37"/>
        <v>3303.8227888365677</v>
      </c>
      <c r="F263" s="6">
        <f t="shared" si="38"/>
        <v>11.592360662584449</v>
      </c>
    </row>
    <row r="264" spans="1:6" x14ac:dyDescent="0.25">
      <c r="A264">
        <v>8</v>
      </c>
      <c r="B264" s="7">
        <f t="shared" si="39"/>
        <v>76.88671875</v>
      </c>
      <c r="C264" s="7">
        <f t="shared" si="36"/>
        <v>1115.2061767578125</v>
      </c>
      <c r="D264" s="7">
        <f t="shared" si="40"/>
        <v>212.7896728515625</v>
      </c>
      <c r="E264" s="13">
        <f t="shared" si="37"/>
        <v>4048.5097574498191</v>
      </c>
      <c r="F264" s="6">
        <f t="shared" si="38"/>
        <v>14.205297394560768</v>
      </c>
    </row>
    <row r="265" spans="1:6" x14ac:dyDescent="0.25">
      <c r="A265">
        <v>9</v>
      </c>
      <c r="B265" s="7">
        <f t="shared" si="39"/>
        <v>115.330078125</v>
      </c>
      <c r="C265" s="7">
        <f t="shared" si="36"/>
        <v>1374.7860412597656</v>
      </c>
      <c r="D265" s="7">
        <f t="shared" si="40"/>
        <v>259.57986450195312</v>
      </c>
      <c r="E265" s="13">
        <f t="shared" si="37"/>
        <v>4938.7341039184384</v>
      </c>
      <c r="F265" s="6">
        <f t="shared" si="38"/>
        <v>17.328891592696273</v>
      </c>
    </row>
    <row r="266" spans="1:6" x14ac:dyDescent="0.25">
      <c r="A266">
        <v>10</v>
      </c>
      <c r="B266" s="7">
        <f t="shared" si="39"/>
        <v>172.9951171875</v>
      </c>
      <c r="C266" s="7">
        <f t="shared" si="36"/>
        <v>1689.650032043457</v>
      </c>
      <c r="D266" s="7">
        <f t="shared" si="40"/>
        <v>314.86399078369141</v>
      </c>
      <c r="E266" s="13">
        <f t="shared" si="37"/>
        <v>5990.5629905572951</v>
      </c>
      <c r="F266" s="6">
        <f t="shared" si="38"/>
        <v>21.019519265113317</v>
      </c>
    </row>
    <row r="267" spans="1:6" x14ac:dyDescent="0.25">
      <c r="A267">
        <v>11</v>
      </c>
      <c r="B267" s="7">
        <f t="shared" si="39"/>
        <v>259.49267578125</v>
      </c>
      <c r="C267" s="7">
        <f t="shared" si="36"/>
        <v>2068.8137607574463</v>
      </c>
      <c r="D267" s="7">
        <f t="shared" si="40"/>
        <v>379.16372871398926</v>
      </c>
      <c r="E267" s="13">
        <f t="shared" si="37"/>
        <v>7213.921779185488</v>
      </c>
      <c r="F267" s="6">
        <f t="shared" si="38"/>
        <v>25.312006242756098</v>
      </c>
    </row>
    <row r="268" spans="1:6" x14ac:dyDescent="0.25">
      <c r="A268">
        <v>12</v>
      </c>
      <c r="B268" s="7">
        <f t="shared" si="39"/>
        <v>389.239013671875</v>
      </c>
      <c r="C268" s="7">
        <f t="shared" si="36"/>
        <v>2521.1440320014954</v>
      </c>
      <c r="D268" s="7">
        <f t="shared" si="40"/>
        <v>452.33027124404907</v>
      </c>
      <c r="E268" s="13">
        <f t="shared" si="37"/>
        <v>8605.9792854651641</v>
      </c>
      <c r="F268" s="6">
        <f t="shared" si="38"/>
        <v>30.196418545491802</v>
      </c>
    </row>
    <row r="269" spans="1:6" x14ac:dyDescent="0.25">
      <c r="A269">
        <v>13</v>
      </c>
      <c r="B269" s="7">
        <f t="shared" si="39"/>
        <v>583.8585205078125</v>
      </c>
      <c r="C269" s="7">
        <f t="shared" si="36"/>
        <v>3054.1202865839005</v>
      </c>
      <c r="D269" s="7">
        <f t="shared" si="40"/>
        <v>532.97625458240509</v>
      </c>
      <c r="E269" s="13">
        <f t="shared" si="37"/>
        <v>10140.339699056414</v>
      </c>
      <c r="F269" s="6">
        <f t="shared" si="38"/>
        <v>35.580139294934789</v>
      </c>
    </row>
    <row r="270" spans="1:6" x14ac:dyDescent="0.25">
      <c r="A270">
        <v>14</v>
      </c>
      <c r="B270" s="7">
        <f t="shared" si="39"/>
        <v>875.78778076171875</v>
      </c>
      <c r="C270" s="7">
        <f t="shared" si="36"/>
        <v>3671.6857281029224</v>
      </c>
      <c r="D270" s="7">
        <f t="shared" si="40"/>
        <v>617.56544151902199</v>
      </c>
      <c r="E270" s="13">
        <f t="shared" si="37"/>
        <v>11749.723012157952</v>
      </c>
      <c r="F270" s="6">
        <f t="shared" si="38"/>
        <v>41.227098288273517</v>
      </c>
    </row>
    <row r="271" spans="1:6" x14ac:dyDescent="0.25">
      <c r="A271">
        <v>15</v>
      </c>
      <c r="B271" s="7">
        <f t="shared" si="39"/>
        <v>1313.6816711425781</v>
      </c>
      <c r="C271" s="7">
        <f t="shared" si="36"/>
        <v>4370.6602149382234</v>
      </c>
      <c r="D271" s="7">
        <f t="shared" si="40"/>
        <v>698.97448683530092</v>
      </c>
      <c r="E271" s="13">
        <f t="shared" si="37"/>
        <v>13298.601347703594</v>
      </c>
      <c r="F271" s="6">
        <f t="shared" si="38"/>
        <v>46.661759114749451</v>
      </c>
    </row>
    <row r="274" spans="1:11" x14ac:dyDescent="0.25">
      <c r="A274" s="11" t="s">
        <v>49</v>
      </c>
      <c r="B274" s="38"/>
    </row>
    <row r="275" spans="1:11" s="108" customFormat="1" x14ac:dyDescent="0.25">
      <c r="A275" s="11"/>
      <c r="B275" s="38"/>
    </row>
    <row r="276" spans="1:11" x14ac:dyDescent="0.25">
      <c r="A276" s="110" t="s">
        <v>7</v>
      </c>
      <c r="B276" s="108"/>
      <c r="C276" s="122" t="s">
        <v>2</v>
      </c>
      <c r="D276" s="122" t="s">
        <v>3</v>
      </c>
      <c r="E276" s="108"/>
      <c r="F276" s="108"/>
      <c r="G276" s="122" t="s">
        <v>58</v>
      </c>
      <c r="H276" s="122" t="s">
        <v>58</v>
      </c>
      <c r="I276" s="108"/>
      <c r="J276" s="108"/>
      <c r="K276" s="108"/>
    </row>
    <row r="277" spans="1:11" ht="15.75" x14ac:dyDescent="0.25">
      <c r="A277" s="110" t="s">
        <v>84</v>
      </c>
      <c r="B277" s="115">
        <v>1</v>
      </c>
      <c r="C277" s="116">
        <v>128</v>
      </c>
      <c r="D277" s="116">
        <v>2</v>
      </c>
      <c r="E277" s="117">
        <v>200</v>
      </c>
      <c r="F277" s="118" t="s">
        <v>5</v>
      </c>
      <c r="G277" s="121">
        <v>8</v>
      </c>
      <c r="H277" s="121">
        <v>0</v>
      </c>
      <c r="I277" s="119">
        <v>7</v>
      </c>
      <c r="J277" s="120">
        <v>0.75</v>
      </c>
      <c r="K277" s="120">
        <v>0.1</v>
      </c>
    </row>
    <row r="278" spans="1:11" s="108" customFormat="1" x14ac:dyDescent="0.25">
      <c r="A278" s="110"/>
      <c r="B278"/>
      <c r="C278"/>
      <c r="D278"/>
      <c r="E278"/>
      <c r="F278"/>
      <c r="G278"/>
      <c r="H278"/>
      <c r="I278"/>
      <c r="J278"/>
      <c r="K278"/>
    </row>
    <row r="279" spans="1:11" x14ac:dyDescent="0.25">
      <c r="E279" s="1" t="s">
        <v>46</v>
      </c>
    </row>
    <row r="280" spans="1:11" x14ac:dyDescent="0.25">
      <c r="B280" s="1" t="s">
        <v>45</v>
      </c>
      <c r="C280" s="1" t="s">
        <v>45</v>
      </c>
      <c r="D280" s="1" t="s">
        <v>46</v>
      </c>
      <c r="E280" s="1" t="s">
        <v>34</v>
      </c>
    </row>
    <row r="281" spans="1:11" x14ac:dyDescent="0.25">
      <c r="A281" s="4" t="s">
        <v>8</v>
      </c>
      <c r="B281" s="1" t="s">
        <v>44</v>
      </c>
      <c r="C281" s="1" t="s">
        <v>47</v>
      </c>
      <c r="D281" s="1" t="s">
        <v>36</v>
      </c>
      <c r="E281" s="1" t="s">
        <v>44</v>
      </c>
    </row>
    <row r="282" spans="1:11" x14ac:dyDescent="0.25">
      <c r="A282">
        <v>0</v>
      </c>
      <c r="B282" s="40">
        <f t="shared" ref="B282:B297" si="41">memory6p5*ongoingResourcePercent6p5*POWER(1+memoryGrowth, A282)</f>
        <v>0.2</v>
      </c>
      <c r="C282" s="7">
        <f>B282/utxoExpand/utxoMemoryPercent</f>
        <v>1.3333333333333335</v>
      </c>
      <c r="D282" s="102">
        <f xml:space="preserve"> utxoSize</f>
        <v>3</v>
      </c>
      <c r="E282" s="40">
        <f t="shared" ref="E282:E297" si="42">D282*utxoExpand*utxoMemoryPercent</f>
        <v>0.45</v>
      </c>
    </row>
    <row r="283" spans="1:11" x14ac:dyDescent="0.25">
      <c r="A283">
        <v>1</v>
      </c>
      <c r="B283" s="40">
        <f t="shared" si="41"/>
        <v>0.22999999999999998</v>
      </c>
      <c r="C283" s="7">
        <f t="shared" ref="C283:C297" si="43">B283/utxoExpand/utxoMemoryPercent</f>
        <v>1.5333333333333334</v>
      </c>
      <c r="D283" s="104">
        <f xml:space="preserve"> D282 + MIN(D282*utxoGrowth, curMaxBlocksize*secondsPerYear/secondsPerBlock/KBperGB)</f>
        <v>4.5</v>
      </c>
      <c r="E283" s="40">
        <f t="shared" si="42"/>
        <v>0.67499999999999993</v>
      </c>
    </row>
    <row r="284" spans="1:11" x14ac:dyDescent="0.25">
      <c r="A284">
        <v>2</v>
      </c>
      <c r="B284" s="40">
        <f t="shared" si="41"/>
        <v>0.26449999999999996</v>
      </c>
      <c r="C284" s="7">
        <f t="shared" si="43"/>
        <v>1.7633333333333334</v>
      </c>
      <c r="D284" s="104">
        <f xml:space="preserve"> D283 + MIN(D283*utxoGrowth, curMaxBlocksize*secondsPerYear/secondsPerBlock/KBperGB)</f>
        <v>6.75</v>
      </c>
      <c r="E284" s="40">
        <f t="shared" si="42"/>
        <v>1.0125</v>
      </c>
    </row>
    <row r="285" spans="1:11" x14ac:dyDescent="0.25">
      <c r="A285">
        <v>3</v>
      </c>
      <c r="B285" s="40">
        <f t="shared" si="41"/>
        <v>0.30417499999999992</v>
      </c>
      <c r="C285" s="7">
        <f t="shared" si="43"/>
        <v>2.0278333333333332</v>
      </c>
      <c r="D285" s="104">
        <f t="shared" ref="D285:D297" si="44" xml:space="preserve"> D284 + MIN(D284*utxoGrowth, curMaxBlocksize*secondsPerYear/secondsPerBlock/KBperGB)</f>
        <v>10.125</v>
      </c>
      <c r="E285" s="40">
        <f t="shared" si="42"/>
        <v>1.5187499999999996</v>
      </c>
    </row>
    <row r="286" spans="1:11" x14ac:dyDescent="0.25">
      <c r="A286">
        <v>4</v>
      </c>
      <c r="B286" s="40">
        <f t="shared" si="41"/>
        <v>0.3498012499999999</v>
      </c>
      <c r="C286" s="7">
        <f t="shared" si="43"/>
        <v>2.332008333333333</v>
      </c>
      <c r="D286" s="104">
        <f t="shared" si="44"/>
        <v>15.1875</v>
      </c>
      <c r="E286" s="40">
        <f t="shared" si="42"/>
        <v>2.2781249999999997</v>
      </c>
    </row>
    <row r="287" spans="1:11" x14ac:dyDescent="0.25">
      <c r="A287">
        <v>5</v>
      </c>
      <c r="B287" s="40">
        <f t="shared" si="41"/>
        <v>0.40227143749999988</v>
      </c>
      <c r="C287" s="7">
        <f t="shared" si="43"/>
        <v>2.6818095833333331</v>
      </c>
      <c r="D287" s="104">
        <f t="shared" si="44"/>
        <v>22.78125</v>
      </c>
      <c r="E287" s="40">
        <f t="shared" si="42"/>
        <v>3.4171874999999998</v>
      </c>
    </row>
    <row r="288" spans="1:11" x14ac:dyDescent="0.25">
      <c r="A288">
        <v>6</v>
      </c>
      <c r="B288" s="40">
        <f t="shared" si="41"/>
        <v>0.46261215312499981</v>
      </c>
      <c r="C288" s="7">
        <f t="shared" si="43"/>
        <v>3.0840810208333327</v>
      </c>
      <c r="D288" s="104">
        <f t="shared" si="44"/>
        <v>34.171875</v>
      </c>
      <c r="E288" s="40">
        <f t="shared" si="42"/>
        <v>5.1257812499999993</v>
      </c>
    </row>
    <row r="289" spans="1:8" x14ac:dyDescent="0.25">
      <c r="A289">
        <v>7</v>
      </c>
      <c r="B289" s="40">
        <f t="shared" si="41"/>
        <v>0.53200397609374972</v>
      </c>
      <c r="C289" s="7">
        <f t="shared" si="43"/>
        <v>3.5466931739583316</v>
      </c>
      <c r="D289" s="104">
        <f t="shared" si="44"/>
        <v>51.2578125</v>
      </c>
      <c r="E289" s="40">
        <f t="shared" si="42"/>
        <v>7.6886718749999989</v>
      </c>
    </row>
    <row r="290" spans="1:8" x14ac:dyDescent="0.25">
      <c r="A290">
        <v>8</v>
      </c>
      <c r="B290" s="40">
        <f t="shared" si="41"/>
        <v>0.61180457250781206</v>
      </c>
      <c r="C290" s="7">
        <f t="shared" si="43"/>
        <v>4.078697150052081</v>
      </c>
      <c r="D290" s="104">
        <f t="shared" si="44"/>
        <v>76.88671875</v>
      </c>
      <c r="E290" s="40">
        <f t="shared" si="42"/>
        <v>11.533007812499999</v>
      </c>
    </row>
    <row r="291" spans="1:8" x14ac:dyDescent="0.25">
      <c r="A291">
        <v>9</v>
      </c>
      <c r="B291" s="40">
        <f t="shared" si="41"/>
        <v>0.70357525838398383</v>
      </c>
      <c r="C291" s="7">
        <f t="shared" si="43"/>
        <v>4.6905017225598931</v>
      </c>
      <c r="D291" s="104">
        <f t="shared" si="44"/>
        <v>115.330078125</v>
      </c>
      <c r="E291" s="40">
        <f t="shared" si="42"/>
        <v>17.299511718750001</v>
      </c>
    </row>
    <row r="292" spans="1:8" x14ac:dyDescent="0.25">
      <c r="A292">
        <v>10</v>
      </c>
      <c r="B292" s="40">
        <f t="shared" si="41"/>
        <v>0.8091115471415814</v>
      </c>
      <c r="C292" s="7">
        <f t="shared" si="43"/>
        <v>5.3940769809438764</v>
      </c>
      <c r="D292" s="104">
        <f t="shared" si="44"/>
        <v>172.9951171875</v>
      </c>
      <c r="E292" s="40">
        <f t="shared" si="42"/>
        <v>25.949267578124996</v>
      </c>
    </row>
    <row r="293" spans="1:8" x14ac:dyDescent="0.25">
      <c r="A293">
        <v>11</v>
      </c>
      <c r="B293" s="40">
        <f t="shared" si="41"/>
        <v>0.93047827921281856</v>
      </c>
      <c r="C293" s="7">
        <f t="shared" si="43"/>
        <v>6.2031885280854571</v>
      </c>
      <c r="D293" s="104">
        <f t="shared" si="44"/>
        <v>259.49267578125</v>
      </c>
      <c r="E293" s="40">
        <f t="shared" si="42"/>
        <v>38.923901367187497</v>
      </c>
    </row>
    <row r="294" spans="1:8" x14ac:dyDescent="0.25">
      <c r="A294">
        <v>12</v>
      </c>
      <c r="B294" s="40">
        <f t="shared" si="41"/>
        <v>1.070050021094741</v>
      </c>
      <c r="C294" s="7">
        <f t="shared" si="43"/>
        <v>7.1336668072982734</v>
      </c>
      <c r="D294" s="104">
        <f t="shared" si="44"/>
        <v>364.61267578125</v>
      </c>
      <c r="E294" s="40">
        <f t="shared" si="42"/>
        <v>54.691901367187498</v>
      </c>
    </row>
    <row r="295" spans="1:8" x14ac:dyDescent="0.25">
      <c r="A295">
        <v>13</v>
      </c>
      <c r="B295" s="40">
        <f t="shared" si="41"/>
        <v>1.2305575242589524</v>
      </c>
      <c r="C295" s="7">
        <f t="shared" si="43"/>
        <v>8.2037168283930164</v>
      </c>
      <c r="D295" s="104">
        <f t="shared" si="44"/>
        <v>469.73267578125001</v>
      </c>
      <c r="E295" s="40">
        <f t="shared" si="42"/>
        <v>70.459901367187499</v>
      </c>
    </row>
    <row r="296" spans="1:8" x14ac:dyDescent="0.25">
      <c r="A296">
        <v>14</v>
      </c>
      <c r="B296" s="40">
        <f t="shared" si="41"/>
        <v>1.4151411528977951</v>
      </c>
      <c r="C296" s="7">
        <f t="shared" si="43"/>
        <v>9.4342743526519683</v>
      </c>
      <c r="D296" s="104">
        <f t="shared" si="44"/>
        <v>574.85267578125001</v>
      </c>
      <c r="E296" s="40">
        <f t="shared" si="42"/>
        <v>86.227901367187499</v>
      </c>
    </row>
    <row r="297" spans="1:8" x14ac:dyDescent="0.25">
      <c r="A297">
        <v>15</v>
      </c>
      <c r="B297" s="40">
        <f t="shared" si="41"/>
        <v>1.627412325832464</v>
      </c>
      <c r="C297" s="7">
        <f t="shared" si="43"/>
        <v>10.849415505549761</v>
      </c>
      <c r="D297" s="104">
        <f t="shared" si="44"/>
        <v>679.97267578125002</v>
      </c>
      <c r="E297" s="40">
        <f t="shared" si="42"/>
        <v>101.99590136718749</v>
      </c>
    </row>
    <row r="299" spans="1:8" x14ac:dyDescent="0.25">
      <c r="A299" s="5" t="s">
        <v>66</v>
      </c>
    </row>
    <row r="300" spans="1:8" x14ac:dyDescent="0.25">
      <c r="A300" s="146"/>
      <c r="B300" s="146"/>
      <c r="C300" s="146"/>
      <c r="D300" s="5" t="s">
        <v>68</v>
      </c>
      <c r="E300" s="5" t="s">
        <v>69</v>
      </c>
      <c r="F300" s="5" t="s">
        <v>18</v>
      </c>
      <c r="G300" s="5" t="s">
        <v>70</v>
      </c>
      <c r="H300" s="5" t="s">
        <v>71</v>
      </c>
    </row>
    <row r="301" spans="1:8" x14ac:dyDescent="0.25">
      <c r="A301" s="148" t="s">
        <v>22</v>
      </c>
      <c r="B301" s="148"/>
      <c r="C301" s="148"/>
      <c r="D301" s="50" t="str">
        <f>A68</f>
        <v>90th %ile</v>
      </c>
      <c r="E301" s="51">
        <f>E72</f>
        <v>0.45165461986341898</v>
      </c>
      <c r="F301" s="52">
        <f>D72</f>
        <v>128.72156666107443</v>
      </c>
      <c r="G301" s="55">
        <f>B72*avgTrSize/1000</f>
        <v>43.091999999999999</v>
      </c>
      <c r="H301" s="137"/>
    </row>
    <row r="302" spans="1:8" x14ac:dyDescent="0.25">
      <c r="A302" s="147" t="s">
        <v>6</v>
      </c>
      <c r="B302" s="147"/>
      <c r="C302" s="147"/>
      <c r="D302" s="2" t="str">
        <f>A44</f>
        <v>90th %ile</v>
      </c>
      <c r="E302" s="45">
        <f>E48</f>
        <v>0.8446313225664035</v>
      </c>
      <c r="F302" s="9">
        <f>D48</f>
        <v>240.71992693142499</v>
      </c>
      <c r="G302" s="36">
        <f>B48</f>
        <v>56.7</v>
      </c>
      <c r="H302" s="132"/>
    </row>
    <row r="303" spans="1:8" x14ac:dyDescent="0.25">
      <c r="A303" s="147" t="s">
        <v>50</v>
      </c>
      <c r="B303" s="147"/>
      <c r="C303" s="147"/>
      <c r="D303" s="2" t="str">
        <f>A252</f>
        <v>10th %ile</v>
      </c>
      <c r="E303" s="45">
        <f>F257</f>
        <v>3.2377366551843845</v>
      </c>
      <c r="F303" s="13">
        <f>E257</f>
        <v>922.75494672754951</v>
      </c>
      <c r="G303" s="36">
        <f>C256</f>
        <v>197</v>
      </c>
      <c r="H303" s="132"/>
    </row>
    <row r="304" spans="1:8" x14ac:dyDescent="0.25">
      <c r="A304" s="147" t="s">
        <v>67</v>
      </c>
      <c r="B304" s="147"/>
      <c r="C304" s="147"/>
      <c r="D304" s="2" t="str">
        <f>A277</f>
        <v>90th %ile</v>
      </c>
      <c r="E304" s="58"/>
      <c r="F304" s="57"/>
      <c r="G304" s="56"/>
      <c r="H304" s="54">
        <f>C282</f>
        <v>1.3333333333333335</v>
      </c>
    </row>
    <row r="305" spans="1:8" x14ac:dyDescent="0.25">
      <c r="A305" s="147" t="s">
        <v>72</v>
      </c>
      <c r="B305" s="147"/>
      <c r="C305" s="147"/>
      <c r="D305" s="2" t="str">
        <f>A92</f>
        <v>90th %ile</v>
      </c>
      <c r="E305" s="45">
        <f>B97</f>
        <v>4.9000000000000004</v>
      </c>
      <c r="F305" s="13">
        <f>E97</f>
        <v>1396.5</v>
      </c>
      <c r="G305" s="36">
        <f>C97*avgTrSize/1000</f>
        <v>197.125</v>
      </c>
      <c r="H305" s="132"/>
    </row>
    <row r="306" spans="1:8" x14ac:dyDescent="0.25">
      <c r="A306" s="147" t="s">
        <v>57</v>
      </c>
      <c r="B306" s="147"/>
      <c r="C306" s="147"/>
      <c r="D306" s="2" t="str">
        <f>A156</f>
        <v>90th %ile</v>
      </c>
      <c r="E306" s="45">
        <f>D160</f>
        <v>10.096930533117932</v>
      </c>
      <c r="F306" s="9">
        <f>E160*1000</f>
        <v>2877.6252019386106</v>
      </c>
      <c r="G306" s="57"/>
      <c r="H306" s="132"/>
    </row>
    <row r="307" spans="1:8" x14ac:dyDescent="0.25">
      <c r="A307" s="147" t="s">
        <v>55</v>
      </c>
      <c r="B307" s="147"/>
      <c r="C307" s="147"/>
      <c r="D307" s="2" t="str">
        <f>A204</f>
        <v>90th %ile</v>
      </c>
      <c r="E307" s="45">
        <f>B208</f>
        <v>20</v>
      </c>
      <c r="F307" s="13">
        <f>C208*1000</f>
        <v>5700</v>
      </c>
      <c r="G307" s="56"/>
      <c r="H307" s="132"/>
    </row>
    <row r="308" spans="1:8" x14ac:dyDescent="0.25">
      <c r="A308" s="147" t="s">
        <v>48</v>
      </c>
      <c r="B308" s="147"/>
      <c r="C308" s="147"/>
      <c r="D308" s="2" t="str">
        <f>A228</f>
        <v>90th %ile</v>
      </c>
      <c r="E308" s="58"/>
      <c r="F308" s="57"/>
      <c r="G308" s="56"/>
      <c r="H308" s="54">
        <f>B232</f>
        <v>12.8</v>
      </c>
    </row>
    <row r="309" spans="1:8" x14ac:dyDescent="0.25">
      <c r="A309" s="147" t="s">
        <v>57</v>
      </c>
      <c r="B309" s="147"/>
      <c r="C309" s="147"/>
      <c r="D309" s="110" t="s">
        <v>85</v>
      </c>
      <c r="E309" s="46">
        <f>D184</f>
        <v>151.77270519669742</v>
      </c>
      <c r="F309" s="129">
        <f>E184</f>
        <v>43.255220981058763</v>
      </c>
      <c r="G309" s="132"/>
      <c r="H309" s="132"/>
    </row>
  </sheetData>
  <mergeCells count="10">
    <mergeCell ref="A300:C300"/>
    <mergeCell ref="A308:C308"/>
    <mergeCell ref="A309:C309"/>
    <mergeCell ref="A302:C302"/>
    <mergeCell ref="A301:C301"/>
    <mergeCell ref="A305:C305"/>
    <mergeCell ref="A307:C307"/>
    <mergeCell ref="A304:C304"/>
    <mergeCell ref="A303:C303"/>
    <mergeCell ref="A306:C306"/>
  </mergeCells>
  <conditionalFormatting sqref="I117:I132">
    <cfRule type="colorScale" priority="8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97:I112">
    <cfRule type="colorScale" priority="7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301:F303 F305:F307">
    <cfRule type="cellIs" dxfId="10" priority="4" operator="lessThan">
      <formula>$C$19</formula>
    </cfRule>
  </conditionalFormatting>
  <conditionalFormatting sqref="E301:E303 E305:E307">
    <cfRule type="cellIs" dxfId="9" priority="3" operator="lessThan">
      <formula>$C$19*1000/$C$10/$F$10</formula>
    </cfRule>
  </conditionalFormatting>
  <conditionalFormatting sqref="G301:G303 G305">
    <cfRule type="cellIs" dxfId="8" priority="2" operator="lessThan">
      <formula>$B$19</formula>
    </cfRule>
  </conditionalFormatting>
  <conditionalFormatting sqref="H308 H304">
    <cfRule type="cellIs" dxfId="7" priority="1" operator="lessThan">
      <formula>$D$19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09"/>
  <sheetViews>
    <sheetView tabSelected="1" topLeftCell="A143" workbookViewId="0">
      <selection activeCell="F204" sqref="F204"/>
    </sheetView>
  </sheetViews>
  <sheetFormatPr defaultRowHeight="15" x14ac:dyDescent="0.25"/>
  <cols>
    <col min="1" max="1" width="12" customWidth="1"/>
    <col min="2" max="2" width="15.5703125" customWidth="1"/>
    <col min="3" max="3" width="15.85546875" customWidth="1"/>
    <col min="4" max="4" width="15.7109375" customWidth="1"/>
    <col min="5" max="5" width="12.42578125" customWidth="1"/>
    <col min="6" max="6" width="13.28515625" customWidth="1"/>
    <col min="7" max="7" width="12.7109375" customWidth="1"/>
    <col min="8" max="8" width="12.42578125" customWidth="1"/>
    <col min="9" max="9" width="12" bestFit="1" customWidth="1"/>
  </cols>
  <sheetData>
    <row r="1" spans="1:12" s="68" customFormat="1" x14ac:dyDescent="0.25">
      <c r="A1" s="69" t="s">
        <v>0</v>
      </c>
      <c r="G1" s="69" t="s">
        <v>77</v>
      </c>
      <c r="H1" s="69" t="s">
        <v>76</v>
      </c>
      <c r="I1" s="69" t="s">
        <v>90</v>
      </c>
      <c r="J1" s="72" t="s">
        <v>89</v>
      </c>
      <c r="K1" s="69" t="s">
        <v>16</v>
      </c>
      <c r="L1" s="69" t="s">
        <v>39</v>
      </c>
    </row>
    <row r="2" spans="1:12" s="68" customFormat="1" x14ac:dyDescent="0.25">
      <c r="A2" s="69" t="s">
        <v>81</v>
      </c>
      <c r="B2" s="69" t="s">
        <v>1</v>
      </c>
      <c r="C2" s="69" t="s">
        <v>2</v>
      </c>
      <c r="D2" s="69" t="s">
        <v>3</v>
      </c>
      <c r="E2" s="69" t="s">
        <v>11</v>
      </c>
      <c r="F2" s="69" t="s">
        <v>4</v>
      </c>
      <c r="G2" s="69" t="s">
        <v>58</v>
      </c>
      <c r="H2" s="69" t="s">
        <v>58</v>
      </c>
      <c r="I2" s="69" t="s">
        <v>16</v>
      </c>
      <c r="J2" s="69" t="s">
        <v>16</v>
      </c>
      <c r="K2" s="69" t="s">
        <v>17</v>
      </c>
      <c r="L2" s="69" t="s">
        <v>17</v>
      </c>
    </row>
    <row r="3" spans="1:12" s="68" customFormat="1" ht="15.75" x14ac:dyDescent="0.25">
      <c r="A3" s="70" t="s">
        <v>86</v>
      </c>
      <c r="B3" s="75">
        <v>1000</v>
      </c>
      <c r="C3" s="76">
        <v>10000</v>
      </c>
      <c r="D3" s="76">
        <v>20</v>
      </c>
      <c r="E3" s="77">
        <v>50000</v>
      </c>
      <c r="F3" s="78" t="s">
        <v>5</v>
      </c>
      <c r="G3" s="81">
        <v>8</v>
      </c>
      <c r="H3" s="85">
        <f>minPublicNodeConnections</f>
        <v>80</v>
      </c>
      <c r="I3" s="79">
        <v>7</v>
      </c>
      <c r="J3" s="79">
        <v>60</v>
      </c>
      <c r="K3" s="80">
        <v>0.75</v>
      </c>
      <c r="L3" s="80">
        <v>0.1</v>
      </c>
    </row>
    <row r="4" spans="1:12" s="68" customFormat="1" ht="15.75" x14ac:dyDescent="0.25">
      <c r="A4" s="70" t="s">
        <v>85</v>
      </c>
      <c r="B4" s="75">
        <v>50</v>
      </c>
      <c r="C4" s="76">
        <v>1000</v>
      </c>
      <c r="D4" s="76">
        <v>8</v>
      </c>
      <c r="E4" s="77">
        <v>5000</v>
      </c>
      <c r="F4" s="78" t="s">
        <v>5</v>
      </c>
      <c r="G4" s="81">
        <v>8</v>
      </c>
      <c r="H4" s="84">
        <f>($G$5*0.9+$G$4*0.09+$G$3*0.01)/publicNodePercent</f>
        <v>80</v>
      </c>
      <c r="I4" s="79">
        <v>7</v>
      </c>
      <c r="J4" s="79">
        <v>60</v>
      </c>
      <c r="K4" s="80">
        <f>'Current Bitcoin'!$J$4</f>
        <v>0.5</v>
      </c>
      <c r="L4" s="80">
        <v>0.1</v>
      </c>
    </row>
    <row r="5" spans="1:12" s="68" customFormat="1" ht="15.75" x14ac:dyDescent="0.25">
      <c r="A5" s="70" t="s">
        <v>84</v>
      </c>
      <c r="B5" s="75">
        <v>1</v>
      </c>
      <c r="C5" s="76">
        <v>128</v>
      </c>
      <c r="D5" s="76">
        <v>2</v>
      </c>
      <c r="E5" s="77">
        <v>200</v>
      </c>
      <c r="F5" s="78" t="s">
        <v>5</v>
      </c>
      <c r="G5" s="81">
        <v>8</v>
      </c>
      <c r="H5" s="81">
        <v>0</v>
      </c>
      <c r="I5" s="79">
        <v>7</v>
      </c>
      <c r="J5" s="79">
        <v>60</v>
      </c>
      <c r="K5" s="80">
        <v>0.75</v>
      </c>
      <c r="L5" s="80">
        <v>0.1</v>
      </c>
    </row>
    <row r="6" spans="1:12" s="68" customFormat="1" x14ac:dyDescent="0.25">
      <c r="A6" s="70" t="s">
        <v>9</v>
      </c>
      <c r="B6" s="80">
        <v>0.25</v>
      </c>
      <c r="C6" s="80">
        <v>0.25</v>
      </c>
      <c r="D6" s="80">
        <v>0.15</v>
      </c>
      <c r="E6" s="80">
        <v>0.17</v>
      </c>
    </row>
    <row r="7" spans="1:12" s="68" customFormat="1" x14ac:dyDescent="0.25"/>
    <row r="9" spans="1:12" x14ac:dyDescent="0.25">
      <c r="A9" s="72" t="s">
        <v>91</v>
      </c>
    </row>
    <row r="10" spans="1:12" x14ac:dyDescent="0.25">
      <c r="A10" s="69"/>
      <c r="B10" s="70"/>
      <c r="C10" s="68"/>
      <c r="D10" s="68"/>
      <c r="E10" s="68"/>
      <c r="F10" s="68"/>
      <c r="G10" s="83" t="s">
        <v>77</v>
      </c>
      <c r="H10" s="83" t="s">
        <v>76</v>
      </c>
      <c r="I10" s="68"/>
      <c r="J10" s="68"/>
      <c r="K10" s="68"/>
    </row>
    <row r="11" spans="1:12" x14ac:dyDescent="0.25">
      <c r="A11" s="70" t="s">
        <v>7</v>
      </c>
      <c r="B11" s="68"/>
      <c r="C11" s="83" t="s">
        <v>2</v>
      </c>
      <c r="D11" s="83" t="s">
        <v>3</v>
      </c>
      <c r="E11" s="68"/>
      <c r="F11" s="68"/>
      <c r="G11" s="83" t="s">
        <v>58</v>
      </c>
      <c r="H11" s="83" t="s">
        <v>58</v>
      </c>
      <c r="I11" s="68"/>
      <c r="J11" s="68"/>
      <c r="K11" s="68"/>
    </row>
    <row r="12" spans="1:12" ht="15.75" x14ac:dyDescent="0.25">
      <c r="A12" s="70" t="s">
        <v>84</v>
      </c>
      <c r="B12" s="75">
        <v>1</v>
      </c>
      <c r="C12" s="76">
        <v>128</v>
      </c>
      <c r="D12" s="76">
        <v>2</v>
      </c>
      <c r="E12" s="77">
        <v>200</v>
      </c>
      <c r="F12" s="78" t="s">
        <v>5</v>
      </c>
      <c r="G12" s="81">
        <v>8</v>
      </c>
      <c r="H12" s="81">
        <v>0</v>
      </c>
      <c r="I12" s="79">
        <v>7</v>
      </c>
      <c r="J12" s="79">
        <v>60</v>
      </c>
      <c r="K12" s="80">
        <v>0.75</v>
      </c>
      <c r="L12" s="80">
        <v>0.1</v>
      </c>
    </row>
    <row r="13" spans="1:12" x14ac:dyDescent="0.25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</row>
    <row r="14" spans="1:12" x14ac:dyDescent="0.25">
      <c r="A14" s="68"/>
      <c r="B14" s="69"/>
      <c r="C14" s="88" t="s">
        <v>46</v>
      </c>
      <c r="D14" s="88" t="s">
        <v>40</v>
      </c>
      <c r="E14" s="88" t="s">
        <v>32</v>
      </c>
      <c r="F14" s="68"/>
      <c r="G14" s="68"/>
      <c r="H14" s="68"/>
      <c r="I14" s="68"/>
      <c r="J14" s="68"/>
      <c r="K14" s="68"/>
    </row>
    <row r="15" spans="1:12" x14ac:dyDescent="0.25">
      <c r="A15" s="71" t="s">
        <v>8</v>
      </c>
      <c r="B15" s="69" t="s">
        <v>92</v>
      </c>
      <c r="C15" s="88" t="s">
        <v>36</v>
      </c>
      <c r="D15" s="88" t="s">
        <v>9</v>
      </c>
      <c r="E15" s="69" t="s">
        <v>33</v>
      </c>
      <c r="F15" s="69" t="s">
        <v>21</v>
      </c>
      <c r="G15" s="68"/>
      <c r="H15" s="68"/>
      <c r="I15" s="68"/>
      <c r="J15" s="68"/>
      <c r="K15" s="68"/>
    </row>
    <row r="16" spans="1:12" x14ac:dyDescent="0.25">
      <c r="A16" s="68">
        <v>0</v>
      </c>
      <c r="B16" s="130">
        <f t="shared" ref="B16:B31" si="0">bandwidth9*syncResourcePercent8*mbToGB*secondsPerYear*POWER(1+bandwidthGrowth,A16)*recentSyncTime8/365</f>
        <v>56.7</v>
      </c>
      <c r="C16" s="102">
        <f xml:space="preserve"> utxoSize</f>
        <v>3</v>
      </c>
      <c r="D16" s="92">
        <f t="shared" ref="D16:D31" si="1">(B16-C16)/(assumevalidBlockTime/365)</f>
        <v>93.335714285714289</v>
      </c>
      <c r="E16" s="53">
        <f t="shared" ref="E16:E31" si="2">(D16*KBperGB/secondsPerYear)*secondsPerBlock/1000</f>
        <v>1.7757936507936509</v>
      </c>
      <c r="F16" s="74">
        <f t="shared" ref="F16:F31" si="3">E16*1000*1000/(secondsPerBlock*avgTrSize)</f>
        <v>6.230854915065442</v>
      </c>
      <c r="G16" s="68"/>
      <c r="H16" s="68"/>
      <c r="I16" s="68"/>
      <c r="J16" s="68"/>
      <c r="K16" s="68"/>
    </row>
    <row r="17" spans="1:11" x14ac:dyDescent="0.25">
      <c r="A17" s="68">
        <v>1</v>
      </c>
      <c r="B17" s="130">
        <f t="shared" si="0"/>
        <v>70.875</v>
      </c>
      <c r="C17" s="104">
        <f t="shared" ref="C17:C31" si="4" xml:space="preserve"> C16 + MIN(C16*utxoGrowth, curMaxBlocksize*secondsPerYear/secondsPerBlock/KBperGB)</f>
        <v>4.5</v>
      </c>
      <c r="D17" s="114">
        <f t="shared" si="1"/>
        <v>115.36607142857143</v>
      </c>
      <c r="E17" s="103">
        <f t="shared" si="2"/>
        <v>2.1949404761904763</v>
      </c>
      <c r="F17" s="74">
        <f t="shared" si="3"/>
        <v>7.7015455304928988</v>
      </c>
      <c r="G17" s="68"/>
      <c r="H17" s="68"/>
      <c r="I17" s="68"/>
      <c r="J17" s="68"/>
      <c r="K17" s="68"/>
    </row>
    <row r="18" spans="1:11" x14ac:dyDescent="0.25">
      <c r="A18" s="68">
        <v>2</v>
      </c>
      <c r="B18" s="130">
        <f t="shared" si="0"/>
        <v>88.59375</v>
      </c>
      <c r="C18" s="104">
        <f t="shared" si="4"/>
        <v>6.75</v>
      </c>
      <c r="D18" s="114">
        <f t="shared" si="1"/>
        <v>142.25223214285714</v>
      </c>
      <c r="E18" s="103">
        <f t="shared" si="2"/>
        <v>2.706473214285714</v>
      </c>
      <c r="F18" s="74">
        <f t="shared" si="3"/>
        <v>9.4963972431077668</v>
      </c>
      <c r="G18" s="68"/>
      <c r="H18" s="68"/>
      <c r="I18" s="68"/>
      <c r="J18" s="68"/>
      <c r="K18" s="68"/>
    </row>
    <row r="19" spans="1:11" x14ac:dyDescent="0.25">
      <c r="A19" s="68">
        <v>3</v>
      </c>
      <c r="B19" s="130">
        <f t="shared" si="0"/>
        <v>110.7421875</v>
      </c>
      <c r="C19" s="104">
        <f t="shared" si="4"/>
        <v>10.125</v>
      </c>
      <c r="D19" s="114">
        <f t="shared" si="1"/>
        <v>174.88225446428572</v>
      </c>
      <c r="E19" s="103">
        <f>(D19*KBperGB/secondsPerYear)*secondsPerBlock/1000</f>
        <v>3.3272879464285721</v>
      </c>
      <c r="F19" s="74">
        <f t="shared" si="3"/>
        <v>11.674694548872182</v>
      </c>
      <c r="G19" s="68"/>
      <c r="H19" s="68"/>
      <c r="I19" s="68"/>
      <c r="J19" s="68"/>
      <c r="K19" s="68"/>
    </row>
    <row r="20" spans="1:11" x14ac:dyDescent="0.25">
      <c r="A20" s="68">
        <v>4</v>
      </c>
      <c r="B20" s="130">
        <f t="shared" si="0"/>
        <v>138.427734375</v>
      </c>
      <c r="C20" s="104">
        <f t="shared" si="4"/>
        <v>15.1875</v>
      </c>
      <c r="D20" s="114">
        <f t="shared" si="1"/>
        <v>214.20326450892858</v>
      </c>
      <c r="E20" s="103">
        <f t="shared" si="2"/>
        <v>4.0754045758928577</v>
      </c>
      <c r="F20" s="74">
        <f t="shared" si="3"/>
        <v>14.299665178571431</v>
      </c>
      <c r="G20" s="68"/>
      <c r="H20" s="68"/>
      <c r="I20" s="68"/>
      <c r="J20" s="68"/>
      <c r="K20" s="68"/>
    </row>
    <row r="21" spans="1:11" x14ac:dyDescent="0.25">
      <c r="A21" s="68">
        <v>5</v>
      </c>
      <c r="B21" s="130">
        <f t="shared" si="0"/>
        <v>173.03466796875</v>
      </c>
      <c r="C21" s="104">
        <f t="shared" si="4"/>
        <v>22.78125</v>
      </c>
      <c r="D21" s="114">
        <f t="shared" si="1"/>
        <v>261.15475027901789</v>
      </c>
      <c r="E21" s="103">
        <f t="shared" si="2"/>
        <v>4.9686976841517865</v>
      </c>
      <c r="F21" s="74">
        <f t="shared" si="3"/>
        <v>17.434026961936091</v>
      </c>
      <c r="G21" s="68"/>
      <c r="H21" s="68"/>
      <c r="I21" s="68"/>
      <c r="J21" s="68"/>
      <c r="K21" s="68"/>
    </row>
    <row r="22" spans="1:11" x14ac:dyDescent="0.25">
      <c r="A22" s="68">
        <v>6</v>
      </c>
      <c r="B22" s="130">
        <f t="shared" si="0"/>
        <v>216.2933349609375</v>
      </c>
      <c r="C22" s="104">
        <f t="shared" si="4"/>
        <v>34.171875</v>
      </c>
      <c r="D22" s="114">
        <f t="shared" si="1"/>
        <v>316.54444231305803</v>
      </c>
      <c r="E22" s="103">
        <f t="shared" si="2"/>
        <v>6.0225350516183038</v>
      </c>
      <c r="F22" s="74">
        <f t="shared" si="3"/>
        <v>21.131701935502818</v>
      </c>
      <c r="G22" s="68"/>
      <c r="H22" s="68"/>
      <c r="I22" s="68"/>
      <c r="J22" s="68"/>
      <c r="K22" s="68"/>
    </row>
    <row r="23" spans="1:11" x14ac:dyDescent="0.25">
      <c r="A23" s="68">
        <v>7</v>
      </c>
      <c r="B23" s="130">
        <f t="shared" si="0"/>
        <v>270.36666870117187</v>
      </c>
      <c r="C23" s="104">
        <f t="shared" si="4"/>
        <v>51.2578125</v>
      </c>
      <c r="D23" s="114">
        <f t="shared" si="1"/>
        <v>380.83205958775113</v>
      </c>
      <c r="E23" s="103">
        <f t="shared" si="2"/>
        <v>7.2456632341657379</v>
      </c>
      <c r="F23" s="74">
        <f t="shared" si="3"/>
        <v>25.423379769002587</v>
      </c>
      <c r="G23" s="68"/>
      <c r="H23" s="68"/>
      <c r="I23" s="68"/>
      <c r="J23" s="68"/>
      <c r="K23" s="68"/>
    </row>
    <row r="24" spans="1:11" x14ac:dyDescent="0.25">
      <c r="A24" s="68">
        <v>8</v>
      </c>
      <c r="B24" s="130">
        <f t="shared" si="0"/>
        <v>337.95833587646484</v>
      </c>
      <c r="C24" s="104">
        <f t="shared" si="4"/>
        <v>76.88671875</v>
      </c>
      <c r="D24" s="114">
        <f t="shared" si="1"/>
        <v>453.76733452933178</v>
      </c>
      <c r="E24" s="103">
        <f t="shared" si="2"/>
        <v>8.6333206721714575</v>
      </c>
      <c r="F24" s="74">
        <f t="shared" si="3"/>
        <v>30.29235323568933</v>
      </c>
      <c r="G24" s="68"/>
      <c r="H24" s="68"/>
      <c r="I24" s="68"/>
      <c r="J24" s="68"/>
      <c r="K24" s="68"/>
    </row>
    <row r="25" spans="1:11" x14ac:dyDescent="0.25">
      <c r="A25" s="68">
        <v>9</v>
      </c>
      <c r="B25" s="130">
        <f t="shared" si="0"/>
        <v>422.44791984558105</v>
      </c>
      <c r="C25" s="104">
        <f t="shared" si="4"/>
        <v>115.330078125</v>
      </c>
      <c r="D25" s="114">
        <f t="shared" si="1"/>
        <v>533.80005822862904</v>
      </c>
      <c r="E25" s="103">
        <f t="shared" si="2"/>
        <v>10.156013284410751</v>
      </c>
      <c r="F25" s="74">
        <f t="shared" si="3"/>
        <v>35.635134331265789</v>
      </c>
      <c r="G25" s="68"/>
      <c r="H25" s="68"/>
      <c r="I25" s="68"/>
      <c r="J25" s="68"/>
      <c r="K25" s="68"/>
    </row>
    <row r="26" spans="1:11" x14ac:dyDescent="0.25">
      <c r="A26" s="68">
        <v>10</v>
      </c>
      <c r="B26" s="130">
        <f t="shared" si="0"/>
        <v>528.05989980697632</v>
      </c>
      <c r="C26" s="104">
        <f t="shared" si="4"/>
        <v>172.9951171875</v>
      </c>
      <c r="D26" s="114">
        <f t="shared" si="1"/>
        <v>617.13640788623263</v>
      </c>
      <c r="E26" s="103">
        <f t="shared" si="2"/>
        <v>11.74156027180808</v>
      </c>
      <c r="F26" s="74">
        <f t="shared" si="3"/>
        <v>41.198457094063436</v>
      </c>
      <c r="G26" s="68"/>
      <c r="H26" s="68"/>
      <c r="I26" s="68"/>
      <c r="J26" s="68"/>
      <c r="K26" s="68"/>
    </row>
    <row r="27" spans="1:11" x14ac:dyDescent="0.25">
      <c r="A27" s="68">
        <v>11</v>
      </c>
      <c r="B27" s="130">
        <f t="shared" si="0"/>
        <v>660.0748747587204</v>
      </c>
      <c r="C27" s="104">
        <f t="shared" si="4"/>
        <v>259.49267578125</v>
      </c>
      <c r="D27" s="114">
        <f t="shared" si="1"/>
        <v>696.25001250846049</v>
      </c>
      <c r="E27" s="103">
        <f t="shared" si="2"/>
        <v>13.246765839202066</v>
      </c>
      <c r="F27" s="74">
        <f t="shared" si="3"/>
        <v>46.479880137551106</v>
      </c>
      <c r="G27" s="68"/>
      <c r="H27" s="68"/>
      <c r="I27" s="68"/>
      <c r="J27" s="68"/>
      <c r="K27" s="68"/>
    </row>
    <row r="28" spans="1:11" x14ac:dyDescent="0.25">
      <c r="A28" s="68">
        <v>12</v>
      </c>
      <c r="B28" s="130">
        <f t="shared" si="0"/>
        <v>825.0935934484005</v>
      </c>
      <c r="C28" s="104">
        <f t="shared" si="4"/>
        <v>364.61267578125</v>
      </c>
      <c r="D28" s="114">
        <f t="shared" si="1"/>
        <v>800.35969023099972</v>
      </c>
      <c r="E28" s="103">
        <f t="shared" si="2"/>
        <v>15.227543573649157</v>
      </c>
      <c r="F28" s="74">
        <f t="shared" si="3"/>
        <v>53.429977451400553</v>
      </c>
      <c r="G28" s="68"/>
      <c r="H28" s="68"/>
      <c r="I28" s="68"/>
      <c r="J28" s="68"/>
      <c r="K28" s="68"/>
    </row>
    <row r="29" spans="1:11" x14ac:dyDescent="0.25">
      <c r="A29" s="68">
        <v>13</v>
      </c>
      <c r="B29" s="130">
        <f t="shared" si="0"/>
        <v>1031.3669918105006</v>
      </c>
      <c r="C29" s="104">
        <f t="shared" si="4"/>
        <v>469.73267578125001</v>
      </c>
      <c r="D29" s="114">
        <f t="shared" si="1"/>
        <v>976.17393024131661</v>
      </c>
      <c r="E29" s="103">
        <f t="shared" si="2"/>
        <v>18.572563360755645</v>
      </c>
      <c r="F29" s="74">
        <f t="shared" si="3"/>
        <v>65.166888985107519</v>
      </c>
      <c r="G29" s="68"/>
      <c r="H29" s="68"/>
      <c r="I29" s="68"/>
      <c r="J29" s="68"/>
      <c r="K29" s="68"/>
    </row>
    <row r="30" spans="1:11" x14ac:dyDescent="0.25">
      <c r="A30" s="68">
        <v>14</v>
      </c>
      <c r="B30" s="130">
        <f t="shared" si="0"/>
        <v>1289.2087397631258</v>
      </c>
      <c r="C30" s="104">
        <f t="shared" si="4"/>
        <v>574.85267578125001</v>
      </c>
      <c r="D30" s="114">
        <f t="shared" si="1"/>
        <v>1241.6188731113555</v>
      </c>
      <c r="E30" s="103">
        <f t="shared" si="2"/>
        <v>23.622885713686365</v>
      </c>
      <c r="F30" s="74">
        <f t="shared" si="3"/>
        <v>82.887318293636369</v>
      </c>
      <c r="G30" s="68"/>
      <c r="H30" s="68"/>
      <c r="I30" s="68"/>
      <c r="J30" s="68"/>
      <c r="K30" s="68"/>
    </row>
    <row r="31" spans="1:11" x14ac:dyDescent="0.25">
      <c r="A31" s="68">
        <v>15</v>
      </c>
      <c r="B31" s="130">
        <f t="shared" si="0"/>
        <v>1611.5109247039072</v>
      </c>
      <c r="C31" s="104">
        <f t="shared" si="4"/>
        <v>679.97267578125002</v>
      </c>
      <c r="D31" s="114">
        <f t="shared" si="1"/>
        <v>1619.1021945560472</v>
      </c>
      <c r="E31" s="103">
        <f t="shared" si="2"/>
        <v>30.804836273897401</v>
      </c>
      <c r="F31" s="74">
        <f t="shared" si="3"/>
        <v>108.08714482069263</v>
      </c>
      <c r="G31" s="68"/>
      <c r="H31" s="68"/>
      <c r="I31" s="68"/>
      <c r="J31" s="68"/>
      <c r="K31" s="68"/>
    </row>
    <row r="32" spans="1:11" x14ac:dyDescent="0.25">
      <c r="A32" s="68"/>
      <c r="B32" s="68"/>
      <c r="C32" s="68"/>
      <c r="D32" s="68"/>
      <c r="E32" s="68"/>
      <c r="F32" s="82"/>
      <c r="G32" s="68"/>
      <c r="H32" s="68"/>
      <c r="I32" s="68"/>
      <c r="J32" s="68"/>
      <c r="K32" s="68"/>
    </row>
    <row r="33" spans="1:12" x14ac:dyDescent="0.25">
      <c r="A33" s="72" t="s">
        <v>87</v>
      </c>
    </row>
    <row r="34" spans="1:12" s="68" customFormat="1" x14ac:dyDescent="0.25">
      <c r="A34" s="69"/>
      <c r="B34" s="70"/>
      <c r="G34" s="83" t="s">
        <v>77</v>
      </c>
      <c r="H34" s="83" t="s">
        <v>76</v>
      </c>
    </row>
    <row r="35" spans="1:12" s="68" customFormat="1" x14ac:dyDescent="0.25">
      <c r="A35" s="70" t="s">
        <v>7</v>
      </c>
      <c r="C35" s="83" t="s">
        <v>2</v>
      </c>
      <c r="D35" s="83" t="s">
        <v>3</v>
      </c>
      <c r="G35" s="83" t="s">
        <v>58</v>
      </c>
      <c r="H35" s="83" t="s">
        <v>58</v>
      </c>
    </row>
    <row r="36" spans="1:12" s="68" customFormat="1" ht="15.75" x14ac:dyDescent="0.25">
      <c r="A36" s="70" t="s">
        <v>84</v>
      </c>
      <c r="B36" s="75">
        <v>1</v>
      </c>
      <c r="C36" s="76">
        <v>128</v>
      </c>
      <c r="D36" s="76">
        <v>2</v>
      </c>
      <c r="E36" s="77">
        <v>200</v>
      </c>
      <c r="F36" s="78" t="s">
        <v>5</v>
      </c>
      <c r="G36" s="81">
        <v>8</v>
      </c>
      <c r="H36" s="81">
        <v>0</v>
      </c>
      <c r="I36" s="79">
        <v>7</v>
      </c>
      <c r="J36" s="79">
        <v>60</v>
      </c>
      <c r="K36" s="80">
        <v>0.75</v>
      </c>
      <c r="L36" s="80">
        <v>0.1</v>
      </c>
    </row>
    <row r="37" spans="1:12" s="68" customFormat="1" x14ac:dyDescent="0.25">
      <c r="A37" s="72"/>
    </row>
    <row r="38" spans="1:12" s="68" customFormat="1" x14ac:dyDescent="0.25">
      <c r="A38" s="72"/>
      <c r="B38" s="69" t="s">
        <v>98</v>
      </c>
      <c r="C38" s="88" t="s">
        <v>94</v>
      </c>
      <c r="D38" s="109" t="s">
        <v>99</v>
      </c>
      <c r="E38" s="109" t="s">
        <v>32</v>
      </c>
    </row>
    <row r="39" spans="1:12" s="68" customFormat="1" x14ac:dyDescent="0.25">
      <c r="A39" s="71" t="s">
        <v>8</v>
      </c>
      <c r="B39" s="69" t="s">
        <v>73</v>
      </c>
      <c r="C39" s="88" t="s">
        <v>9</v>
      </c>
      <c r="D39" s="109" t="s">
        <v>73</v>
      </c>
      <c r="E39" s="109" t="s">
        <v>33</v>
      </c>
      <c r="F39" s="69" t="s">
        <v>21</v>
      </c>
    </row>
    <row r="40" spans="1:12" s="68" customFormat="1" x14ac:dyDescent="0.25">
      <c r="A40" s="68">
        <v>0</v>
      </c>
      <c r="B40" s="130">
        <f>bandwidth10*historicalResourcePercent10*mbToGB*secondsPerYear*POWER(1+bandwidthGrowth,A40)*historicalSyncTime10/365</f>
        <v>64.800000000000011</v>
      </c>
      <c r="C40" s="73">
        <f>bandwidth10*historicalResourcePercent10*LN(1+bandwidthGrowth)*mbToGB*secondsPerYear*POWER(1+bandwidthGrowth,A40)*historicalSyncTime10/365</f>
        <v>14.459702125160796</v>
      </c>
      <c r="D40" s="130">
        <f>B40+C40*assumevalidBlockTime/365</f>
        <v>73.119280674750058</v>
      </c>
      <c r="E40" s="53">
        <f t="shared" ref="E40:E55" si="5">(B40*KBperGB/secondsPerYear)*secondsPerBlock/1000</f>
        <v>1.2328767123287676</v>
      </c>
      <c r="F40" s="74">
        <f t="shared" ref="F40:F55" si="6">E40*1000*1000/(secondsPerBlock*avgTrSize)</f>
        <v>4.3258832011535704</v>
      </c>
    </row>
    <row r="41" spans="1:12" s="68" customFormat="1" x14ac:dyDescent="0.25">
      <c r="A41" s="68">
        <v>1</v>
      </c>
      <c r="B41" s="130">
        <f t="shared" ref="B41:B55" si="7">bandwidth10*historicalResourcePercent10*mbToGB*secondsPerYear*POWER(1+bandwidthGrowth,A41)*historicalSyncTime10/365</f>
        <v>81.000000000000014</v>
      </c>
      <c r="C41" s="92">
        <f t="shared" ref="C41:C55" si="8">bandwidth10*historicalResourcePercent10*LN(1+bandwidthGrowth)*mbToGB*secondsPerYear*POWER(1+bandwidthGrowth,A41)*historicalSyncTime10/365</f>
        <v>18.074627656450993</v>
      </c>
      <c r="D41" s="130">
        <f t="shared" ref="D41:D55" si="9">B41+C41*assumevalidBlockTime/365</f>
        <v>91.399100843437566</v>
      </c>
      <c r="E41" s="53">
        <f t="shared" si="5"/>
        <v>1.5410958904109591</v>
      </c>
      <c r="F41" s="74">
        <f t="shared" si="6"/>
        <v>5.4073540014419619</v>
      </c>
    </row>
    <row r="42" spans="1:12" s="68" customFormat="1" x14ac:dyDescent="0.25">
      <c r="A42" s="68">
        <v>2</v>
      </c>
      <c r="B42" s="130">
        <f t="shared" si="7"/>
        <v>101.25000000000001</v>
      </c>
      <c r="C42" s="92">
        <f t="shared" si="8"/>
        <v>22.593284570563743</v>
      </c>
      <c r="D42" s="130">
        <f t="shared" si="9"/>
        <v>114.24887605429696</v>
      </c>
      <c r="E42" s="53">
        <f t="shared" si="5"/>
        <v>1.9263698630136989</v>
      </c>
      <c r="F42" s="74">
        <f t="shared" si="6"/>
        <v>6.7591925018024526</v>
      </c>
    </row>
    <row r="43" spans="1:12" s="68" customFormat="1" x14ac:dyDescent="0.25">
      <c r="A43" s="68">
        <v>3</v>
      </c>
      <c r="B43" s="130">
        <f t="shared" si="7"/>
        <v>126.56250000000001</v>
      </c>
      <c r="C43" s="92">
        <f t="shared" si="8"/>
        <v>28.241605713204677</v>
      </c>
      <c r="D43" s="130">
        <f t="shared" si="9"/>
        <v>142.81109506787121</v>
      </c>
      <c r="E43" s="53">
        <f t="shared" si="5"/>
        <v>2.4079623287671232</v>
      </c>
      <c r="F43" s="74">
        <f t="shared" si="6"/>
        <v>8.4489906272530639</v>
      </c>
    </row>
    <row r="44" spans="1:12" s="68" customFormat="1" x14ac:dyDescent="0.25">
      <c r="A44" s="68">
        <v>4</v>
      </c>
      <c r="B44" s="130">
        <f t="shared" si="7"/>
        <v>158.20312500000003</v>
      </c>
      <c r="C44" s="92">
        <f t="shared" si="8"/>
        <v>35.302007141505847</v>
      </c>
      <c r="D44" s="130">
        <f t="shared" si="9"/>
        <v>178.513868834839</v>
      </c>
      <c r="E44" s="53">
        <f t="shared" si="5"/>
        <v>3.0099529109589049</v>
      </c>
      <c r="F44" s="74">
        <f t="shared" si="6"/>
        <v>10.561238284066333</v>
      </c>
    </row>
    <row r="45" spans="1:12" s="68" customFormat="1" x14ac:dyDescent="0.25">
      <c r="A45" s="68">
        <v>5</v>
      </c>
      <c r="B45" s="130">
        <f t="shared" si="7"/>
        <v>197.75390625000003</v>
      </c>
      <c r="C45" s="92">
        <f t="shared" si="8"/>
        <v>44.127508926882307</v>
      </c>
      <c r="D45" s="130">
        <f t="shared" si="9"/>
        <v>223.14233604354877</v>
      </c>
      <c r="E45" s="53">
        <f t="shared" si="5"/>
        <v>3.7624411386986307</v>
      </c>
      <c r="F45" s="74">
        <f t="shared" si="6"/>
        <v>13.201547855082916</v>
      </c>
    </row>
    <row r="46" spans="1:12" s="68" customFormat="1" x14ac:dyDescent="0.25">
      <c r="A46" s="68">
        <v>6</v>
      </c>
      <c r="B46" s="130">
        <f t="shared" si="7"/>
        <v>247.19238281250003</v>
      </c>
      <c r="C46" s="92">
        <f t="shared" si="8"/>
        <v>55.159386158602885</v>
      </c>
      <c r="D46" s="130">
        <f t="shared" si="9"/>
        <v>278.92792005443596</v>
      </c>
      <c r="E46" s="53">
        <f t="shared" si="5"/>
        <v>4.7030514233732887</v>
      </c>
      <c r="F46" s="74">
        <f t="shared" si="6"/>
        <v>16.501934818853645</v>
      </c>
    </row>
    <row r="47" spans="1:12" s="68" customFormat="1" x14ac:dyDescent="0.25">
      <c r="A47" s="68">
        <v>7</v>
      </c>
      <c r="B47" s="130">
        <f t="shared" si="7"/>
        <v>308.99047851562506</v>
      </c>
      <c r="C47" s="92">
        <f t="shared" si="8"/>
        <v>68.94923269825361</v>
      </c>
      <c r="D47" s="130">
        <f t="shared" si="9"/>
        <v>348.65990006804492</v>
      </c>
      <c r="E47" s="53">
        <f t="shared" si="5"/>
        <v>5.87881427921661</v>
      </c>
      <c r="F47" s="74">
        <f t="shared" si="6"/>
        <v>20.627418523567052</v>
      </c>
    </row>
    <row r="48" spans="1:12" s="68" customFormat="1" x14ac:dyDescent="0.25">
      <c r="A48" s="68">
        <v>8</v>
      </c>
      <c r="B48" s="130">
        <f t="shared" si="7"/>
        <v>386.23809814453131</v>
      </c>
      <c r="C48" s="92">
        <f t="shared" si="8"/>
        <v>86.186540872817005</v>
      </c>
      <c r="D48" s="130">
        <f t="shared" si="9"/>
        <v>435.82487508505619</v>
      </c>
      <c r="E48" s="53">
        <f t="shared" si="5"/>
        <v>7.3485178490207623</v>
      </c>
      <c r="F48" s="74">
        <f t="shared" si="6"/>
        <v>25.784273154458816</v>
      </c>
    </row>
    <row r="49" spans="1:12" s="68" customFormat="1" x14ac:dyDescent="0.25">
      <c r="A49" s="68">
        <v>9</v>
      </c>
      <c r="B49" s="130">
        <f t="shared" si="7"/>
        <v>482.79762268066412</v>
      </c>
      <c r="C49" s="92">
        <f t="shared" si="8"/>
        <v>107.73317609102126</v>
      </c>
      <c r="D49" s="130">
        <f t="shared" si="9"/>
        <v>544.78109385632024</v>
      </c>
      <c r="E49" s="53">
        <f t="shared" si="5"/>
        <v>9.1856473112759538</v>
      </c>
      <c r="F49" s="74">
        <f t="shared" si="6"/>
        <v>32.23034144307352</v>
      </c>
    </row>
    <row r="50" spans="1:12" s="68" customFormat="1" x14ac:dyDescent="0.25">
      <c r="A50" s="68">
        <v>10</v>
      </c>
      <c r="B50" s="130">
        <f t="shared" si="7"/>
        <v>603.49702835083019</v>
      </c>
      <c r="C50" s="92">
        <f t="shared" si="8"/>
        <v>134.66647011377657</v>
      </c>
      <c r="D50" s="130">
        <f t="shared" si="9"/>
        <v>680.9763673204003</v>
      </c>
      <c r="E50" s="53">
        <f t="shared" si="5"/>
        <v>11.482059139094943</v>
      </c>
      <c r="F50" s="74">
        <f t="shared" si="6"/>
        <v>40.287926803841906</v>
      </c>
    </row>
    <row r="51" spans="1:12" s="68" customFormat="1" x14ac:dyDescent="0.25">
      <c r="A51" s="68">
        <v>11</v>
      </c>
      <c r="B51" s="130">
        <f t="shared" si="7"/>
        <v>754.37128543853771</v>
      </c>
      <c r="C51" s="92">
        <f t="shared" si="8"/>
        <v>168.3330876422207</v>
      </c>
      <c r="D51" s="130">
        <f t="shared" si="9"/>
        <v>851.22045915050035</v>
      </c>
      <c r="E51" s="53">
        <f t="shared" si="5"/>
        <v>14.352573923868679</v>
      </c>
      <c r="F51" s="74">
        <f t="shared" si="6"/>
        <v>50.359908504802384</v>
      </c>
    </row>
    <row r="52" spans="1:12" s="68" customFormat="1" x14ac:dyDescent="0.25">
      <c r="A52" s="68">
        <v>12</v>
      </c>
      <c r="B52" s="130">
        <f t="shared" si="7"/>
        <v>942.96410679817211</v>
      </c>
      <c r="C52" s="92">
        <f t="shared" si="8"/>
        <v>210.4163595527759</v>
      </c>
      <c r="D52" s="130">
        <f t="shared" si="9"/>
        <v>1064.0255739381255</v>
      </c>
      <c r="E52" s="53">
        <f t="shared" si="5"/>
        <v>17.940717404835848</v>
      </c>
      <c r="F52" s="74">
        <f t="shared" si="6"/>
        <v>62.949885631002971</v>
      </c>
    </row>
    <row r="53" spans="1:12" s="68" customFormat="1" x14ac:dyDescent="0.25">
      <c r="A53" s="68">
        <v>13</v>
      </c>
      <c r="B53" s="130">
        <f t="shared" si="7"/>
        <v>1178.7051334977152</v>
      </c>
      <c r="C53" s="92">
        <f t="shared" si="8"/>
        <v>263.02044944096986</v>
      </c>
      <c r="D53" s="130">
        <f t="shared" si="9"/>
        <v>1330.0319674226569</v>
      </c>
      <c r="E53" s="53">
        <f t="shared" si="5"/>
        <v>22.425896756044811</v>
      </c>
      <c r="F53" s="74">
        <f t="shared" si="6"/>
        <v>78.687357038753731</v>
      </c>
    </row>
    <row r="54" spans="1:12" s="68" customFormat="1" x14ac:dyDescent="0.25">
      <c r="A54" s="68">
        <v>14</v>
      </c>
      <c r="B54" s="130">
        <f t="shared" si="7"/>
        <v>1473.381416872144</v>
      </c>
      <c r="C54" s="92">
        <f t="shared" si="8"/>
        <v>328.77556180121235</v>
      </c>
      <c r="D54" s="130">
        <f t="shared" si="9"/>
        <v>1662.539959278321</v>
      </c>
      <c r="E54" s="53">
        <f t="shared" si="5"/>
        <v>28.032370945056012</v>
      </c>
      <c r="F54" s="74">
        <f t="shared" si="6"/>
        <v>98.359196298442157</v>
      </c>
    </row>
    <row r="55" spans="1:12" s="68" customFormat="1" x14ac:dyDescent="0.25">
      <c r="A55" s="68">
        <v>15</v>
      </c>
      <c r="B55" s="130">
        <f t="shared" si="7"/>
        <v>1841.7267710901799</v>
      </c>
      <c r="C55" s="92">
        <f t="shared" si="8"/>
        <v>410.96945225151546</v>
      </c>
      <c r="D55" s="130">
        <f t="shared" si="9"/>
        <v>2078.1749490979009</v>
      </c>
      <c r="E55" s="53">
        <f t="shared" si="5"/>
        <v>35.040463681320013</v>
      </c>
      <c r="F55" s="74">
        <f t="shared" si="6"/>
        <v>122.94899537305267</v>
      </c>
    </row>
    <row r="56" spans="1:12" s="37" customFormat="1" x14ac:dyDescent="0.25"/>
    <row r="57" spans="1:12" x14ac:dyDescent="0.25">
      <c r="A57" s="72" t="s">
        <v>93</v>
      </c>
    </row>
    <row r="58" spans="1:12" s="68" customFormat="1" x14ac:dyDescent="0.25">
      <c r="A58" s="69"/>
      <c r="B58" s="70"/>
      <c r="G58" s="83" t="s">
        <v>77</v>
      </c>
      <c r="H58" s="83" t="s">
        <v>76</v>
      </c>
    </row>
    <row r="59" spans="1:12" s="68" customFormat="1" x14ac:dyDescent="0.25">
      <c r="A59" s="70" t="s">
        <v>7</v>
      </c>
      <c r="C59" s="83" t="s">
        <v>2</v>
      </c>
      <c r="D59" s="83" t="s">
        <v>3</v>
      </c>
      <c r="G59" s="83" t="s">
        <v>58</v>
      </c>
      <c r="H59" s="83" t="s">
        <v>58</v>
      </c>
    </row>
    <row r="60" spans="1:12" s="68" customFormat="1" ht="15.75" x14ac:dyDescent="0.25">
      <c r="A60" s="70" t="s">
        <v>84</v>
      </c>
      <c r="B60" s="75">
        <v>1</v>
      </c>
      <c r="C60" s="76">
        <v>128</v>
      </c>
      <c r="D60" s="76">
        <v>2</v>
      </c>
      <c r="E60" s="77">
        <v>200</v>
      </c>
      <c r="F60" s="78" t="s">
        <v>5</v>
      </c>
      <c r="G60" s="81">
        <v>8</v>
      </c>
      <c r="H60" s="81">
        <v>0</v>
      </c>
      <c r="I60" s="79">
        <v>7</v>
      </c>
      <c r="J60" s="79">
        <v>60</v>
      </c>
      <c r="K60" s="80">
        <v>0.75</v>
      </c>
      <c r="L60" s="80">
        <v>0.1</v>
      </c>
    </row>
    <row r="61" spans="1:12" s="68" customFormat="1" x14ac:dyDescent="0.25">
      <c r="A61" s="72"/>
    </row>
    <row r="62" spans="1:12" s="68" customFormat="1" x14ac:dyDescent="0.25">
      <c r="B62" s="88" t="s">
        <v>32</v>
      </c>
      <c r="C62" s="88" t="s">
        <v>94</v>
      </c>
    </row>
    <row r="63" spans="1:12" s="68" customFormat="1" x14ac:dyDescent="0.25">
      <c r="A63" s="71" t="s">
        <v>8</v>
      </c>
      <c r="B63" s="88" t="s">
        <v>29</v>
      </c>
      <c r="C63" s="88" t="s">
        <v>9</v>
      </c>
      <c r="D63" s="88" t="s">
        <v>18</v>
      </c>
      <c r="E63" s="88" t="s">
        <v>21</v>
      </c>
    </row>
    <row r="64" spans="1:12" s="68" customFormat="1" x14ac:dyDescent="0.25">
      <c r="A64" s="68">
        <v>0</v>
      </c>
      <c r="B64" s="86">
        <f>throughput11*syncResourcePercent11*POWER(1+cpuGrowth,A64)*recentSyncTime11*secondsPerYear/365/1000/1000</f>
        <v>90.72</v>
      </c>
      <c r="C64" s="67">
        <f>(B64*1000*1000)*(avgTrSize/1000/KBperGB)*(365/assumevalidBlockTime)</f>
        <v>74.897999999999996</v>
      </c>
      <c r="D64" s="66">
        <f t="shared" ref="D64:D79" si="10">(C64*KBperGB/secondsPerYear)*secondsPerBlock/1000</f>
        <v>1.425</v>
      </c>
      <c r="E64" s="93">
        <f t="shared" ref="E64:E79" si="11">D64*1000*1000/(secondsPerBlock*avgTrSize)</f>
        <v>5</v>
      </c>
    </row>
    <row r="65" spans="1:5" s="68" customFormat="1" x14ac:dyDescent="0.25">
      <c r="A65" s="68">
        <v>1</v>
      </c>
      <c r="B65" s="86">
        <f t="shared" ref="B65:B79" si="12">throughput11*syncResourcePercent11*POWER(1+cpuGrowth,A65)*recentSyncTime11*secondsPerYear/365/1000/1000</f>
        <v>106.14239999999999</v>
      </c>
      <c r="C65" s="67">
        <f>(B65*1000*1000)*(avgTrSize/1000/KBperGB)*(365/assumevalidBlockTime)</f>
        <v>87.630659999999992</v>
      </c>
      <c r="D65" s="66">
        <f t="shared" si="10"/>
        <v>1.6672499999999997</v>
      </c>
      <c r="E65" s="93">
        <f t="shared" si="11"/>
        <v>5.8499999999999988</v>
      </c>
    </row>
    <row r="66" spans="1:5" s="68" customFormat="1" x14ac:dyDescent="0.25">
      <c r="A66" s="68">
        <v>2</v>
      </c>
      <c r="B66" s="86">
        <f t="shared" si="12"/>
        <v>124.18660799999998</v>
      </c>
      <c r="C66" s="67">
        <f t="shared" ref="C66:C79" si="13">(B66*1000*1000)*(avgTrSize/1000/KBperGB)*(365/assumevalidBlockTime)</f>
        <v>102.52787219999999</v>
      </c>
      <c r="D66" s="66">
        <f t="shared" si="10"/>
        <v>1.9506824999999997</v>
      </c>
      <c r="E66" s="93">
        <f t="shared" si="11"/>
        <v>6.8444999999999991</v>
      </c>
    </row>
    <row r="67" spans="1:5" s="68" customFormat="1" x14ac:dyDescent="0.25">
      <c r="A67" s="68">
        <v>3</v>
      </c>
      <c r="B67" s="86">
        <f t="shared" si="12"/>
        <v>145.29833135999999</v>
      </c>
      <c r="C67" s="67">
        <f t="shared" si="13"/>
        <v>119.95761047399998</v>
      </c>
      <c r="D67" s="66">
        <f t="shared" si="10"/>
        <v>2.2822985249999999</v>
      </c>
      <c r="E67" s="93">
        <f t="shared" si="11"/>
        <v>8.0080650000000002</v>
      </c>
    </row>
    <row r="68" spans="1:5" s="68" customFormat="1" x14ac:dyDescent="0.25">
      <c r="A68" s="68">
        <v>4</v>
      </c>
      <c r="B68" s="86">
        <f t="shared" si="12"/>
        <v>169.99904769119996</v>
      </c>
      <c r="C68" s="67">
        <f t="shared" si="13"/>
        <v>140.35040425457996</v>
      </c>
      <c r="D68" s="66">
        <f t="shared" si="10"/>
        <v>2.6702892742499995</v>
      </c>
      <c r="E68" s="93">
        <f t="shared" si="11"/>
        <v>9.3694360499999974</v>
      </c>
    </row>
    <row r="69" spans="1:5" s="68" customFormat="1" x14ac:dyDescent="0.25">
      <c r="A69" s="68">
        <v>5</v>
      </c>
      <c r="B69" s="86">
        <f t="shared" si="12"/>
        <v>198.8988857987039</v>
      </c>
      <c r="C69" s="67">
        <f t="shared" si="13"/>
        <v>164.20997297785851</v>
      </c>
      <c r="D69" s="66">
        <f t="shared" si="10"/>
        <v>3.1242384508724981</v>
      </c>
      <c r="E69" s="93">
        <f t="shared" si="11"/>
        <v>10.962240178499993</v>
      </c>
    </row>
    <row r="70" spans="1:5" s="68" customFormat="1" x14ac:dyDescent="0.25">
      <c r="A70" s="68">
        <v>6</v>
      </c>
      <c r="B70" s="86">
        <f t="shared" si="12"/>
        <v>232.71169638448356</v>
      </c>
      <c r="C70" s="67">
        <f t="shared" si="13"/>
        <v>192.12566838409447</v>
      </c>
      <c r="D70" s="66">
        <f t="shared" si="10"/>
        <v>3.6553589875208234</v>
      </c>
      <c r="E70" s="93">
        <f t="shared" si="11"/>
        <v>12.825821008844995</v>
      </c>
    </row>
    <row r="71" spans="1:5" s="68" customFormat="1" x14ac:dyDescent="0.25">
      <c r="A71" s="68">
        <v>7</v>
      </c>
      <c r="B71" s="86">
        <f t="shared" si="12"/>
        <v>272.27268476984574</v>
      </c>
      <c r="C71" s="67">
        <f t="shared" si="13"/>
        <v>224.78703200939046</v>
      </c>
      <c r="D71" s="66">
        <f t="shared" si="10"/>
        <v>4.2767700153993609</v>
      </c>
      <c r="E71" s="93">
        <f t="shared" si="11"/>
        <v>15.006210580348634</v>
      </c>
    </row>
    <row r="72" spans="1:5" s="68" customFormat="1" x14ac:dyDescent="0.25">
      <c r="A72" s="68">
        <v>8</v>
      </c>
      <c r="B72" s="86">
        <f t="shared" si="12"/>
        <v>318.55904118071953</v>
      </c>
      <c r="C72" s="67">
        <f t="shared" si="13"/>
        <v>263.00082745098683</v>
      </c>
      <c r="D72" s="66">
        <f t="shared" si="10"/>
        <v>5.0038209180172526</v>
      </c>
      <c r="E72" s="93">
        <f t="shared" si="11"/>
        <v>17.557266379007903</v>
      </c>
    </row>
    <row r="73" spans="1:5" s="68" customFormat="1" x14ac:dyDescent="0.25">
      <c r="A73" s="68">
        <v>9</v>
      </c>
      <c r="B73" s="86">
        <f t="shared" si="12"/>
        <v>372.71407818144178</v>
      </c>
      <c r="C73" s="67">
        <f t="shared" si="13"/>
        <v>307.7109681176546</v>
      </c>
      <c r="D73" s="66">
        <f t="shared" si="10"/>
        <v>5.8544704740801858</v>
      </c>
      <c r="E73" s="93">
        <f t="shared" si="11"/>
        <v>20.542001663439251</v>
      </c>
    </row>
    <row r="74" spans="1:5" s="68" customFormat="1" x14ac:dyDescent="0.25">
      <c r="A74" s="68">
        <v>10</v>
      </c>
      <c r="B74" s="86">
        <f t="shared" si="12"/>
        <v>436.07547147228695</v>
      </c>
      <c r="C74" s="67">
        <f t="shared" si="13"/>
        <v>360.0218326976559</v>
      </c>
      <c r="D74" s="66">
        <f t="shared" si="10"/>
        <v>6.8497304546738187</v>
      </c>
      <c r="E74" s="93">
        <f t="shared" si="11"/>
        <v>24.034141946223922</v>
      </c>
    </row>
    <row r="75" spans="1:5" s="68" customFormat="1" x14ac:dyDescent="0.25">
      <c r="A75" s="68">
        <v>11</v>
      </c>
      <c r="B75" s="86">
        <f t="shared" si="12"/>
        <v>510.20830162257562</v>
      </c>
      <c r="C75" s="67">
        <f t="shared" si="13"/>
        <v>421.22554425625736</v>
      </c>
      <c r="D75" s="66">
        <f t="shared" si="10"/>
        <v>8.0141846319683676</v>
      </c>
      <c r="E75" s="93">
        <f t="shared" si="11"/>
        <v>28.119946077081988</v>
      </c>
    </row>
    <row r="76" spans="1:5" s="68" customFormat="1" x14ac:dyDescent="0.25">
      <c r="A76" s="68">
        <v>12</v>
      </c>
      <c r="B76" s="86">
        <f t="shared" si="12"/>
        <v>596.94371289841342</v>
      </c>
      <c r="C76" s="67">
        <f t="shared" si="13"/>
        <v>492.83388677982106</v>
      </c>
      <c r="D76" s="66">
        <f t="shared" si="10"/>
        <v>9.3765960194029869</v>
      </c>
      <c r="E76" s="93">
        <f t="shared" si="11"/>
        <v>32.900336910185921</v>
      </c>
    </row>
    <row r="77" spans="1:5" s="68" customFormat="1" x14ac:dyDescent="0.25">
      <c r="A77" s="68">
        <v>13</v>
      </c>
      <c r="B77" s="86">
        <f t="shared" si="12"/>
        <v>698.4241440911436</v>
      </c>
      <c r="C77" s="67">
        <f t="shared" si="13"/>
        <v>576.61564753239054</v>
      </c>
      <c r="D77" s="66">
        <f t="shared" si="10"/>
        <v>10.970617342701495</v>
      </c>
      <c r="E77" s="93">
        <f t="shared" si="11"/>
        <v>38.493394184917527</v>
      </c>
    </row>
    <row r="78" spans="1:5" s="68" customFormat="1" x14ac:dyDescent="0.25">
      <c r="A78" s="68">
        <v>14</v>
      </c>
      <c r="B78" s="86">
        <f t="shared" si="12"/>
        <v>817.15624858663818</v>
      </c>
      <c r="C78" s="67">
        <f t="shared" si="13"/>
        <v>674.640307612897</v>
      </c>
      <c r="D78" s="66">
        <f t="shared" si="10"/>
        <v>12.835622290960751</v>
      </c>
      <c r="E78" s="93">
        <f t="shared" si="11"/>
        <v>45.037271196353515</v>
      </c>
    </row>
    <row r="79" spans="1:5" s="68" customFormat="1" x14ac:dyDescent="0.25">
      <c r="A79" s="68">
        <v>15</v>
      </c>
      <c r="B79" s="86">
        <f t="shared" si="12"/>
        <v>956.07281084636656</v>
      </c>
      <c r="C79" s="67">
        <f t="shared" si="13"/>
        <v>789.32915990708943</v>
      </c>
      <c r="D79" s="66">
        <f t="shared" si="10"/>
        <v>15.017678080424076</v>
      </c>
      <c r="E79" s="93">
        <f t="shared" si="11"/>
        <v>52.693607299733607</v>
      </c>
    </row>
    <row r="80" spans="1:5" s="68" customFormat="1" x14ac:dyDescent="0.25">
      <c r="A80" s="72"/>
    </row>
    <row r="81" spans="1:12" x14ac:dyDescent="0.25">
      <c r="A81" s="72" t="s">
        <v>88</v>
      </c>
    </row>
    <row r="82" spans="1:12" s="87" customFormat="1" x14ac:dyDescent="0.25">
      <c r="A82" s="88"/>
      <c r="B82" s="89"/>
      <c r="G82" s="101" t="s">
        <v>77</v>
      </c>
      <c r="H82" s="101" t="s">
        <v>76</v>
      </c>
    </row>
    <row r="83" spans="1:12" s="87" customFormat="1" x14ac:dyDescent="0.25">
      <c r="A83" s="89" t="s">
        <v>7</v>
      </c>
      <c r="C83" s="101" t="s">
        <v>2</v>
      </c>
      <c r="D83" s="101" t="s">
        <v>3</v>
      </c>
      <c r="G83" s="101" t="s">
        <v>58</v>
      </c>
      <c r="H83" s="101" t="s">
        <v>58</v>
      </c>
    </row>
    <row r="84" spans="1:12" s="87" customFormat="1" ht="15.75" x14ac:dyDescent="0.25">
      <c r="A84" s="89" t="s">
        <v>84</v>
      </c>
      <c r="B84" s="94">
        <v>1</v>
      </c>
      <c r="C84" s="95">
        <v>128</v>
      </c>
      <c r="D84" s="95">
        <v>2</v>
      </c>
      <c r="E84" s="96">
        <v>200</v>
      </c>
      <c r="F84" s="97" t="s">
        <v>5</v>
      </c>
      <c r="G84" s="100">
        <v>8</v>
      </c>
      <c r="H84" s="100">
        <v>0</v>
      </c>
      <c r="I84" s="98">
        <v>7</v>
      </c>
      <c r="J84" s="98">
        <v>60</v>
      </c>
      <c r="K84" s="99">
        <v>0.75</v>
      </c>
      <c r="L84" s="99">
        <v>0.1</v>
      </c>
    </row>
    <row r="86" spans="1:12" s="87" customFormat="1" x14ac:dyDescent="0.25">
      <c r="A86" s="91"/>
      <c r="B86" s="88" t="s">
        <v>32</v>
      </c>
      <c r="C86" s="88" t="s">
        <v>94</v>
      </c>
      <c r="D86" s="109" t="s">
        <v>99</v>
      </c>
      <c r="F86" s="88" t="s">
        <v>32</v>
      </c>
    </row>
    <row r="87" spans="1:12" s="87" customFormat="1" x14ac:dyDescent="0.25">
      <c r="A87" s="90" t="s">
        <v>8</v>
      </c>
      <c r="B87" s="88" t="s">
        <v>29</v>
      </c>
      <c r="C87" s="88" t="s">
        <v>9</v>
      </c>
      <c r="D87" s="109" t="s">
        <v>73</v>
      </c>
      <c r="E87" s="88" t="s">
        <v>21</v>
      </c>
      <c r="F87" s="88" t="s">
        <v>33</v>
      </c>
    </row>
    <row r="88" spans="1:12" s="87" customFormat="1" x14ac:dyDescent="0.25">
      <c r="A88" s="87">
        <v>0</v>
      </c>
      <c r="B88" s="86">
        <f t="shared" ref="B88:B103" si="14">throughput12*historicalResourcePercent12*POWER(1+cpuGrowth,A88)*(historicalSyncTime12/365)*secondsPerYear/1000/1000</f>
        <v>103.68</v>
      </c>
      <c r="C88" s="105">
        <f t="shared" ref="C88:C103" si="15">throughput12*historicalResourcePercent12*LN(1+cpuGrowth)*POWER(1+cpuGrowth,A88)*(historicalSyncTime12/365)*secondsPerYear/1000/1000</f>
        <v>16.278148676586039</v>
      </c>
      <c r="D88" s="130">
        <f t="shared" ref="D88:D103" si="16">((B88+C88*assumevalidBlockTime/365)*1000*1000)*avgTrSize/(KBperGB*1000)</f>
        <v>53.696617343806729</v>
      </c>
      <c r="E88" s="93">
        <f t="shared" ref="E88:E103" si="17">(C88*1000*1000)*(avgTrSize/1000)/KBperGB</f>
        <v>7.7321206213783684</v>
      </c>
      <c r="F88" s="103">
        <f t="shared" ref="F88:F103" si="18">E88*secondsPerBlock*avgTrSize/1000/1000</f>
        <v>2.203654377092835</v>
      </c>
    </row>
    <row r="89" spans="1:12" s="87" customFormat="1" x14ac:dyDescent="0.25">
      <c r="A89" s="87">
        <v>1</v>
      </c>
      <c r="B89" s="86">
        <f t="shared" si="14"/>
        <v>121.3056</v>
      </c>
      <c r="C89" s="105">
        <f t="shared" si="15"/>
        <v>19.045433951605659</v>
      </c>
      <c r="D89" s="130">
        <f t="shared" si="16"/>
        <v>62.825042292253883</v>
      </c>
      <c r="E89" s="93">
        <f t="shared" si="17"/>
        <v>9.0465811270126864</v>
      </c>
      <c r="F89" s="103">
        <f t="shared" si="18"/>
        <v>2.5782756211986162</v>
      </c>
    </row>
    <row r="90" spans="1:12" s="87" customFormat="1" x14ac:dyDescent="0.25">
      <c r="A90" s="87">
        <v>2</v>
      </c>
      <c r="B90" s="86">
        <f t="shared" si="14"/>
        <v>141.92755199999996</v>
      </c>
      <c r="C90" s="105">
        <f t="shared" si="15"/>
        <v>22.283157723378618</v>
      </c>
      <c r="D90" s="130">
        <f t="shared" si="16"/>
        <v>73.50529948193703</v>
      </c>
      <c r="E90" s="93">
        <f t="shared" si="17"/>
        <v>10.584499918604845</v>
      </c>
      <c r="F90" s="103">
        <f t="shared" si="18"/>
        <v>3.0165824768023808</v>
      </c>
    </row>
    <row r="91" spans="1:12" s="87" customFormat="1" x14ac:dyDescent="0.25">
      <c r="A91" s="87">
        <v>3</v>
      </c>
      <c r="B91" s="86">
        <f t="shared" si="14"/>
        <v>166.05523583999997</v>
      </c>
      <c r="C91" s="105">
        <f t="shared" si="15"/>
        <v>26.071294536352983</v>
      </c>
      <c r="D91" s="130">
        <f t="shared" si="16"/>
        <v>86.001200393866313</v>
      </c>
      <c r="E91" s="93">
        <f t="shared" si="17"/>
        <v>12.383864904767668</v>
      </c>
      <c r="F91" s="103">
        <f t="shared" si="18"/>
        <v>3.5294014978587858</v>
      </c>
    </row>
    <row r="92" spans="1:12" s="87" customFormat="1" x14ac:dyDescent="0.25">
      <c r="A92" s="87">
        <v>4</v>
      </c>
      <c r="B92" s="86">
        <f t="shared" si="14"/>
        <v>194.28462593279994</v>
      </c>
      <c r="C92" s="105">
        <f t="shared" si="15"/>
        <v>30.503414607532989</v>
      </c>
      <c r="D92" s="130">
        <f t="shared" si="16"/>
        <v>100.62140446082358</v>
      </c>
      <c r="E92" s="93">
        <f t="shared" si="17"/>
        <v>14.489121938578171</v>
      </c>
      <c r="F92" s="103">
        <f t="shared" si="18"/>
        <v>4.1293997524947779</v>
      </c>
    </row>
    <row r="93" spans="1:12" s="87" customFormat="1" x14ac:dyDescent="0.25">
      <c r="A93" s="87">
        <v>5</v>
      </c>
      <c r="B93" s="86">
        <f t="shared" si="14"/>
        <v>227.31301234137592</v>
      </c>
      <c r="C93" s="105">
        <f t="shared" si="15"/>
        <v>35.688995090813592</v>
      </c>
      <c r="D93" s="130">
        <f t="shared" si="16"/>
        <v>117.72704321916356</v>
      </c>
      <c r="E93" s="93">
        <f t="shared" si="17"/>
        <v>16.952272668136455</v>
      </c>
      <c r="F93" s="103">
        <f t="shared" si="18"/>
        <v>4.8313977104188899</v>
      </c>
    </row>
    <row r="94" spans="1:12" s="87" customFormat="1" x14ac:dyDescent="0.25">
      <c r="A94" s="87">
        <v>6</v>
      </c>
      <c r="B94" s="86">
        <f t="shared" si="14"/>
        <v>265.95622443940977</v>
      </c>
      <c r="C94" s="105">
        <f t="shared" si="15"/>
        <v>41.756124256251908</v>
      </c>
      <c r="D94" s="130">
        <f t="shared" si="16"/>
        <v>137.74064056642135</v>
      </c>
      <c r="E94" s="93">
        <f t="shared" si="17"/>
        <v>19.834159021719657</v>
      </c>
      <c r="F94" s="103">
        <f t="shared" si="18"/>
        <v>5.6527353211901019</v>
      </c>
    </row>
    <row r="95" spans="1:12" s="87" customFormat="1" x14ac:dyDescent="0.25">
      <c r="A95" s="87">
        <v>7</v>
      </c>
      <c r="B95" s="86">
        <f t="shared" si="14"/>
        <v>311.16878259410947</v>
      </c>
      <c r="C95" s="105">
        <f t="shared" si="15"/>
        <v>48.854665379814733</v>
      </c>
      <c r="D95" s="130">
        <f t="shared" si="16"/>
        <v>161.15654946271297</v>
      </c>
      <c r="E95" s="93">
        <f t="shared" si="17"/>
        <v>23.205966055411995</v>
      </c>
      <c r="F95" s="103">
        <f t="shared" si="18"/>
        <v>6.6137003257924176</v>
      </c>
    </row>
    <row r="96" spans="1:12" s="87" customFormat="1" x14ac:dyDescent="0.25">
      <c r="A96" s="87">
        <v>8</v>
      </c>
      <c r="B96" s="86">
        <f t="shared" si="14"/>
        <v>364.067475635108</v>
      </c>
      <c r="C96" s="105">
        <f t="shared" si="15"/>
        <v>57.159958494383218</v>
      </c>
      <c r="D96" s="130">
        <f t="shared" si="16"/>
        <v>188.55316287137416</v>
      </c>
      <c r="E96" s="93">
        <f t="shared" si="17"/>
        <v>27.150980284832027</v>
      </c>
      <c r="F96" s="103">
        <f t="shared" si="18"/>
        <v>7.7380293811771281</v>
      </c>
    </row>
    <row r="97" spans="1:8" s="87" customFormat="1" x14ac:dyDescent="0.25">
      <c r="A97" s="87">
        <v>9</v>
      </c>
      <c r="B97" s="86">
        <f t="shared" si="14"/>
        <v>425.95894649307633</v>
      </c>
      <c r="C97" s="105">
        <f t="shared" si="15"/>
        <v>66.877151438428356</v>
      </c>
      <c r="D97" s="130">
        <f t="shared" si="16"/>
        <v>220.60720055950776</v>
      </c>
      <c r="E97" s="93">
        <f t="shared" si="17"/>
        <v>31.766646933253462</v>
      </c>
      <c r="F97" s="103">
        <f t="shared" si="18"/>
        <v>9.0534943759772357</v>
      </c>
    </row>
    <row r="98" spans="1:8" s="87" customFormat="1" x14ac:dyDescent="0.25">
      <c r="A98" s="87">
        <v>10</v>
      </c>
      <c r="B98" s="86">
        <f t="shared" si="14"/>
        <v>498.37196739689938</v>
      </c>
      <c r="C98" s="105">
        <f t="shared" si="15"/>
        <v>78.246267182961176</v>
      </c>
      <c r="D98" s="130">
        <f t="shared" si="16"/>
        <v>258.11042465462413</v>
      </c>
      <c r="E98" s="93">
        <f t="shared" si="17"/>
        <v>37.166976911906566</v>
      </c>
      <c r="F98" s="103">
        <f t="shared" si="18"/>
        <v>10.592588419893371</v>
      </c>
    </row>
    <row r="99" spans="1:8" s="87" customFormat="1" x14ac:dyDescent="0.25">
      <c r="A99" s="87">
        <v>11</v>
      </c>
      <c r="B99" s="86">
        <f t="shared" si="14"/>
        <v>583.09520185437214</v>
      </c>
      <c r="C99" s="105">
        <f t="shared" si="15"/>
        <v>91.548132604064577</v>
      </c>
      <c r="D99" s="130">
        <f t="shared" si="16"/>
        <v>301.98919684591021</v>
      </c>
      <c r="E99" s="93">
        <f t="shared" si="17"/>
        <v>43.485362986930674</v>
      </c>
      <c r="F99" s="103">
        <f t="shared" si="18"/>
        <v>12.393328451275242</v>
      </c>
    </row>
    <row r="100" spans="1:8" s="87" customFormat="1" x14ac:dyDescent="0.25">
      <c r="A100" s="87">
        <v>12</v>
      </c>
      <c r="B100" s="86">
        <f t="shared" si="14"/>
        <v>682.22138616961536</v>
      </c>
      <c r="C100" s="105">
        <f t="shared" si="15"/>
        <v>107.11131514675554</v>
      </c>
      <c r="D100" s="130">
        <f t="shared" si="16"/>
        <v>353.32736030971489</v>
      </c>
      <c r="E100" s="93">
        <f t="shared" si="17"/>
        <v>50.877874694708886</v>
      </c>
      <c r="F100" s="103">
        <f t="shared" si="18"/>
        <v>14.500194287992032</v>
      </c>
    </row>
    <row r="101" spans="1:8" s="87" customFormat="1" x14ac:dyDescent="0.25">
      <c r="A101" s="87">
        <v>13</v>
      </c>
      <c r="B101" s="86">
        <f t="shared" si="14"/>
        <v>798.19902181844975</v>
      </c>
      <c r="C101" s="105">
        <f t="shared" si="15"/>
        <v>125.32023872170397</v>
      </c>
      <c r="D101" s="130">
        <f t="shared" si="16"/>
        <v>413.39301156236627</v>
      </c>
      <c r="E101" s="93">
        <f t="shared" si="17"/>
        <v>59.527113392809383</v>
      </c>
      <c r="F101" s="103">
        <f t="shared" si="18"/>
        <v>16.965227316950674</v>
      </c>
    </row>
    <row r="102" spans="1:8" s="87" customFormat="1" x14ac:dyDescent="0.25">
      <c r="A102" s="87">
        <v>14</v>
      </c>
      <c r="B102" s="86">
        <f t="shared" si="14"/>
        <v>933.89285552758622</v>
      </c>
      <c r="C102" s="105">
        <f t="shared" si="15"/>
        <v>146.62467930439365</v>
      </c>
      <c r="D102" s="130">
        <f t="shared" si="16"/>
        <v>483.66982352796862</v>
      </c>
      <c r="E102" s="93">
        <f t="shared" si="17"/>
        <v>69.646722669586993</v>
      </c>
      <c r="F102" s="103">
        <f t="shared" si="18"/>
        <v>19.849315960832293</v>
      </c>
    </row>
    <row r="103" spans="1:8" s="87" customFormat="1" x14ac:dyDescent="0.25">
      <c r="A103" s="87">
        <v>15</v>
      </c>
      <c r="B103" s="86">
        <f t="shared" si="14"/>
        <v>1092.654640967276</v>
      </c>
      <c r="C103" s="105">
        <f t="shared" si="15"/>
        <v>171.55087478614055</v>
      </c>
      <c r="D103" s="130">
        <f t="shared" si="16"/>
        <v>565.89369352772326</v>
      </c>
      <c r="E103" s="93">
        <f t="shared" si="17"/>
        <v>81.486665523416747</v>
      </c>
      <c r="F103" s="103">
        <f t="shared" si="18"/>
        <v>23.223699674173773</v>
      </c>
    </row>
    <row r="105" spans="1:8" x14ac:dyDescent="0.25">
      <c r="A105" s="113" t="s">
        <v>95</v>
      </c>
      <c r="B105" s="108"/>
      <c r="C105" s="108"/>
    </row>
    <row r="106" spans="1:8" s="108" customFormat="1" x14ac:dyDescent="0.25">
      <c r="A106" s="113"/>
      <c r="D106" s="109"/>
      <c r="E106" s="109"/>
      <c r="F106" s="109"/>
      <c r="G106" s="109" t="s">
        <v>32</v>
      </c>
      <c r="H106" s="109" t="s">
        <v>32</v>
      </c>
    </row>
    <row r="107" spans="1:8" s="108" customFormat="1" x14ac:dyDescent="0.25">
      <c r="A107" s="113"/>
      <c r="D107" s="109" t="s">
        <v>68</v>
      </c>
      <c r="E107" s="109" t="s">
        <v>69</v>
      </c>
      <c r="F107" s="109" t="s">
        <v>18</v>
      </c>
      <c r="G107" s="109" t="s">
        <v>97</v>
      </c>
      <c r="H107" s="109" t="s">
        <v>36</v>
      </c>
    </row>
    <row r="108" spans="1:8" s="108" customFormat="1" x14ac:dyDescent="0.25">
      <c r="A108" s="148" t="s">
        <v>6</v>
      </c>
      <c r="B108" s="148"/>
      <c r="C108" s="148"/>
      <c r="D108" s="126" t="s">
        <v>84</v>
      </c>
      <c r="E108" s="127">
        <v>0.8446313225664035</v>
      </c>
      <c r="F108" s="107">
        <v>240.71992693142499</v>
      </c>
      <c r="G108" s="131">
        <v>56.7</v>
      </c>
      <c r="H108" s="132"/>
    </row>
    <row r="109" spans="1:8" s="108" customFormat="1" x14ac:dyDescent="0.25">
      <c r="A109" s="148" t="s">
        <v>72</v>
      </c>
      <c r="B109" s="148"/>
      <c r="C109" s="148"/>
      <c r="D109" s="126" t="s">
        <v>84</v>
      </c>
      <c r="E109" s="127">
        <v>4.9000000000000004</v>
      </c>
      <c r="F109" s="128">
        <v>1396.5</v>
      </c>
      <c r="G109" s="131">
        <v>197.125</v>
      </c>
      <c r="H109" s="132"/>
    </row>
    <row r="110" spans="1:8" s="108" customFormat="1" x14ac:dyDescent="0.25">
      <c r="A110" s="147" t="s">
        <v>102</v>
      </c>
      <c r="B110" s="147"/>
      <c r="C110" s="147"/>
      <c r="D110" s="106" t="s">
        <v>84</v>
      </c>
      <c r="E110" s="123">
        <f>F40</f>
        <v>4.3258832011535704</v>
      </c>
      <c r="F110" s="128">
        <f>E40</f>
        <v>1.2328767123287676</v>
      </c>
      <c r="G110" s="130">
        <f>D40</f>
        <v>73.119280674750058</v>
      </c>
      <c r="H110" s="132"/>
    </row>
    <row r="111" spans="1:8" s="108" customFormat="1" ht="15.75" x14ac:dyDescent="0.25">
      <c r="A111" s="147" t="s">
        <v>101</v>
      </c>
      <c r="B111" s="147"/>
      <c r="C111" s="147"/>
      <c r="D111" s="106" t="s">
        <v>84</v>
      </c>
      <c r="E111" s="123">
        <f>E64</f>
        <v>5</v>
      </c>
      <c r="F111" s="136">
        <f>D64</f>
        <v>1.425</v>
      </c>
      <c r="G111" s="135" t="s">
        <v>5</v>
      </c>
      <c r="H111" s="132"/>
    </row>
    <row r="112" spans="1:8" s="108" customFormat="1" ht="15.75" x14ac:dyDescent="0.25">
      <c r="A112" s="147" t="s">
        <v>96</v>
      </c>
      <c r="B112" s="147"/>
      <c r="C112" s="147"/>
      <c r="D112" s="106" t="s">
        <v>84</v>
      </c>
      <c r="E112" s="123">
        <f>F16</f>
        <v>6.230854915065442</v>
      </c>
      <c r="F112" s="134">
        <f>E16</f>
        <v>1.7757936507936509</v>
      </c>
      <c r="G112" s="135" t="s">
        <v>5</v>
      </c>
      <c r="H112" s="132"/>
    </row>
    <row r="113" spans="1:12" s="108" customFormat="1" x14ac:dyDescent="0.25">
      <c r="A113" s="147" t="s">
        <v>100</v>
      </c>
      <c r="B113" s="147"/>
      <c r="C113" s="147"/>
      <c r="D113" s="106" t="s">
        <v>84</v>
      </c>
      <c r="E113" s="123">
        <f>E88</f>
        <v>7.7321206213783684</v>
      </c>
      <c r="F113" s="136">
        <f>F88</f>
        <v>2.203654377092835</v>
      </c>
      <c r="G113" s="130">
        <f>D88</f>
        <v>53.696617343806729</v>
      </c>
      <c r="H113" s="132"/>
    </row>
    <row r="114" spans="1:12" s="108" customFormat="1" x14ac:dyDescent="0.25">
      <c r="A114" s="125"/>
      <c r="B114" s="125"/>
      <c r="C114" s="125"/>
      <c r="D114" s="126"/>
      <c r="E114"/>
      <c r="F114"/>
      <c r="G114"/>
    </row>
    <row r="117" spans="1:12" x14ac:dyDescent="0.25">
      <c r="A117" s="113" t="s">
        <v>132</v>
      </c>
    </row>
    <row r="118" spans="1:12" s="108" customFormat="1" x14ac:dyDescent="0.25">
      <c r="A118" s="113"/>
    </row>
    <row r="119" spans="1:12" x14ac:dyDescent="0.25">
      <c r="A119" s="110" t="s">
        <v>7</v>
      </c>
    </row>
    <row r="120" spans="1:12" s="108" customFormat="1" ht="15.75" x14ac:dyDescent="0.25">
      <c r="A120" s="110" t="s">
        <v>85</v>
      </c>
      <c r="B120" s="115">
        <v>50</v>
      </c>
      <c r="C120" s="116">
        <v>1000</v>
      </c>
      <c r="D120" s="116">
        <v>8</v>
      </c>
      <c r="E120" s="117">
        <v>5000</v>
      </c>
      <c r="F120" s="118" t="s">
        <v>5</v>
      </c>
      <c r="G120" s="121">
        <v>8</v>
      </c>
      <c r="H120" s="133">
        <f>($G$5*0.9+$G$4*0.09+$G$3*0.01)/publicNodePercent</f>
        <v>80</v>
      </c>
      <c r="I120" s="119">
        <v>7</v>
      </c>
      <c r="J120" s="119">
        <v>60</v>
      </c>
      <c r="K120" s="120">
        <f>'Current Bitcoin'!$J$4</f>
        <v>0.5</v>
      </c>
      <c r="L120" s="120">
        <v>0.1</v>
      </c>
    </row>
    <row r="121" spans="1:12" s="108" customFormat="1" x14ac:dyDescent="0.25"/>
    <row r="122" spans="1:12" s="108" customFormat="1" x14ac:dyDescent="0.25">
      <c r="G122" s="109" t="s">
        <v>118</v>
      </c>
    </row>
    <row r="123" spans="1:12" x14ac:dyDescent="0.25">
      <c r="A123" s="109" t="s">
        <v>122</v>
      </c>
      <c r="B123" s="109" t="s">
        <v>123</v>
      </c>
      <c r="C123" s="109"/>
      <c r="D123" s="109" t="s">
        <v>109</v>
      </c>
      <c r="E123" s="109" t="s">
        <v>116</v>
      </c>
      <c r="F123" s="109" t="s">
        <v>114</v>
      </c>
      <c r="G123" s="109" t="s">
        <v>119</v>
      </c>
      <c r="H123" s="109"/>
    </row>
    <row r="124" spans="1:12" x14ac:dyDescent="0.25">
      <c r="A124" s="109" t="s">
        <v>121</v>
      </c>
      <c r="B124" s="109" t="s">
        <v>121</v>
      </c>
      <c r="C124" s="109" t="s">
        <v>108</v>
      </c>
      <c r="D124" s="109" t="s">
        <v>110</v>
      </c>
      <c r="E124" s="109" t="s">
        <v>115</v>
      </c>
      <c r="F124" s="109" t="s">
        <v>58</v>
      </c>
      <c r="G124" s="109" t="s">
        <v>120</v>
      </c>
      <c r="H124" s="109"/>
    </row>
    <row r="125" spans="1:12" x14ac:dyDescent="0.25">
      <c r="A125" s="23">
        <f>avgTrSize</f>
        <v>475</v>
      </c>
      <c r="B125" s="121">
        <v>2</v>
      </c>
      <c r="C125" s="140">
        <v>8</v>
      </c>
      <c r="D125" s="121">
        <v>100</v>
      </c>
      <c r="E125" s="142">
        <v>1E-4</v>
      </c>
      <c r="F125">
        <f>CEILING(LOG(E125,0.5),1)</f>
        <v>14</v>
      </c>
      <c r="G125" s="143">
        <v>0.75</v>
      </c>
      <c r="I125" s="108"/>
    </row>
    <row r="127" spans="1:12" s="108" customFormat="1" x14ac:dyDescent="0.25">
      <c r="A127" s="113" t="s">
        <v>131</v>
      </c>
    </row>
    <row r="128" spans="1:12" s="108" customFormat="1" x14ac:dyDescent="0.25">
      <c r="B128" s="109"/>
      <c r="C128" s="109" t="s">
        <v>46</v>
      </c>
      <c r="D128" s="109" t="s">
        <v>40</v>
      </c>
      <c r="E128" s="109" t="s">
        <v>32</v>
      </c>
    </row>
    <row r="129" spans="1:6" s="108" customFormat="1" x14ac:dyDescent="0.25">
      <c r="A129" s="145" t="s">
        <v>8</v>
      </c>
      <c r="B129" s="109" t="s">
        <v>92</v>
      </c>
      <c r="C129" s="109" t="s">
        <v>36</v>
      </c>
      <c r="D129" s="109" t="s">
        <v>9</v>
      </c>
      <c r="E129" s="109" t="s">
        <v>33</v>
      </c>
      <c r="F129" s="109" t="s">
        <v>21</v>
      </c>
    </row>
    <row r="130" spans="1:6" s="108" customFormat="1" x14ac:dyDescent="0.25">
      <c r="A130" s="108">
        <v>0</v>
      </c>
      <c r="B130" s="130">
        <f t="shared" ref="B130:B145" si="19">bandwidth15*syncResourcePercentage15*mbToGB*secondsPerYear*POWER(1+bandwidthGrowth,A130)*recentSyncTime15/365</f>
        <v>1890</v>
      </c>
      <c r="C130" s="102">
        <f xml:space="preserve"> utxoSize</f>
        <v>3</v>
      </c>
      <c r="D130" s="114">
        <f>(B130-C130)/(assumevalidBlockTime/365)</f>
        <v>3279.7857142857147</v>
      </c>
      <c r="E130" s="129">
        <f>(D130*KBperGB/secondsPerYear)*secondsPerBlock/1000</f>
        <v>62.400793650793652</v>
      </c>
      <c r="F130" s="93">
        <f t="shared" ref="F130:F145" si="20">E130*1000*1000/(secondsPerBlock*avgTrSize)</f>
        <v>218.95015316067949</v>
      </c>
    </row>
    <row r="131" spans="1:6" s="108" customFormat="1" x14ac:dyDescent="0.25">
      <c r="A131" s="108">
        <v>1</v>
      </c>
      <c r="B131" s="130">
        <f t="shared" si="19"/>
        <v>2362.5</v>
      </c>
      <c r="C131" s="104">
        <f xml:space="preserve"> C130 + MIN(C130*utxoGrowth, curMaxBlocksize*secondsPerYear/secondsPerBlock/KBperGB)</f>
        <v>4.5</v>
      </c>
      <c r="D131" s="114">
        <f t="shared" ref="D131:D145" si="21">(B131-C131)/(assumevalidBlockTime/365)</f>
        <v>4098.4285714285716</v>
      </c>
      <c r="E131" s="129">
        <f t="shared" ref="E131:E132" si="22">(D131*KBperGB/secondsPerYear)*secondsPerBlock/1000</f>
        <v>77.976190476190482</v>
      </c>
      <c r="F131" s="93">
        <f t="shared" si="20"/>
        <v>273.60066833751051</v>
      </c>
    </row>
    <row r="132" spans="1:6" s="108" customFormat="1" x14ac:dyDescent="0.25">
      <c r="A132" s="108">
        <v>2</v>
      </c>
      <c r="B132" s="130">
        <f t="shared" si="19"/>
        <v>2953.125</v>
      </c>
      <c r="C132" s="104">
        <f t="shared" ref="C132:C145" si="23" xml:space="preserve"> C131 + MIN(C131*utxoGrowth, curMaxBlocksize*secondsPerYear/secondsPerBlock/KBperGB)</f>
        <v>6.75</v>
      </c>
      <c r="D132" s="114">
        <f t="shared" si="21"/>
        <v>5121.0803571428578</v>
      </c>
      <c r="E132" s="129">
        <f t="shared" si="22"/>
        <v>97.433035714285708</v>
      </c>
      <c r="F132" s="93">
        <f t="shared" si="20"/>
        <v>341.87030075187971</v>
      </c>
    </row>
    <row r="133" spans="1:6" s="108" customFormat="1" x14ac:dyDescent="0.25">
      <c r="A133" s="108">
        <v>3</v>
      </c>
      <c r="B133" s="130">
        <f t="shared" si="19"/>
        <v>3691.40625</v>
      </c>
      <c r="C133" s="104">
        <f t="shared" si="23"/>
        <v>10.125</v>
      </c>
      <c r="D133" s="114">
        <f t="shared" si="21"/>
        <v>6398.4174107142862</v>
      </c>
      <c r="E133" s="129">
        <f>(D133*KBperGB/secondsPerYear)*secondsPerBlock/1000</f>
        <v>121.73549107142857</v>
      </c>
      <c r="F133" s="93">
        <f t="shared" si="20"/>
        <v>427.14207393483707</v>
      </c>
    </row>
    <row r="134" spans="1:6" s="108" customFormat="1" x14ac:dyDescent="0.25">
      <c r="A134" s="108">
        <v>4</v>
      </c>
      <c r="B134" s="130">
        <f t="shared" si="19"/>
        <v>4614.2578125</v>
      </c>
      <c r="C134" s="104">
        <f t="shared" si="23"/>
        <v>15.1875</v>
      </c>
      <c r="D134" s="114">
        <f t="shared" si="21"/>
        <v>7993.6222098214294</v>
      </c>
      <c r="E134" s="129">
        <f t="shared" ref="E134:E145" si="24">(D134*KBperGB/secondsPerYear)*secondsPerBlock/1000</f>
        <v>152.08565848214286</v>
      </c>
      <c r="F134" s="93">
        <f t="shared" si="20"/>
        <v>533.63388941102755</v>
      </c>
    </row>
    <row r="135" spans="1:6" s="108" customFormat="1" x14ac:dyDescent="0.25">
      <c r="A135" s="108">
        <v>5</v>
      </c>
      <c r="B135" s="130">
        <f t="shared" si="19"/>
        <v>5767.822265625</v>
      </c>
      <c r="C135" s="104">
        <f t="shared" si="23"/>
        <v>22.78125</v>
      </c>
      <c r="D135" s="114">
        <f t="shared" si="21"/>
        <v>9985.4284319196431</v>
      </c>
      <c r="E135" s="129">
        <f t="shared" si="24"/>
        <v>189.98151506696428</v>
      </c>
      <c r="F135" s="93">
        <f t="shared" si="20"/>
        <v>666.60180725250632</v>
      </c>
    </row>
    <row r="136" spans="1:6" s="108" customFormat="1" x14ac:dyDescent="0.25">
      <c r="A136" s="108">
        <v>6</v>
      </c>
      <c r="B136" s="130">
        <f t="shared" si="19"/>
        <v>7209.77783203125</v>
      </c>
      <c r="C136" s="104">
        <f t="shared" si="23"/>
        <v>34.171875</v>
      </c>
      <c r="D136" s="114">
        <f t="shared" si="21"/>
        <v>12471.886544363841</v>
      </c>
      <c r="E136" s="129">
        <f t="shared" si="24"/>
        <v>237.28855678013394</v>
      </c>
      <c r="F136" s="93">
        <f t="shared" si="20"/>
        <v>832.59142729871564</v>
      </c>
    </row>
    <row r="137" spans="1:6" s="108" customFormat="1" x14ac:dyDescent="0.25">
      <c r="A137" s="108">
        <v>7</v>
      </c>
      <c r="B137" s="130">
        <f t="shared" si="19"/>
        <v>9012.2222900390625</v>
      </c>
      <c r="C137" s="104">
        <f t="shared" si="23"/>
        <v>51.2578125</v>
      </c>
      <c r="D137" s="114">
        <f t="shared" si="21"/>
        <v>15575.009687151229</v>
      </c>
      <c r="E137" s="129">
        <f t="shared" si="24"/>
        <v>296.32819039481029</v>
      </c>
      <c r="F137" s="93">
        <f t="shared" si="20"/>
        <v>1039.7480364730184</v>
      </c>
    </row>
    <row r="138" spans="1:6" s="108" customFormat="1" x14ac:dyDescent="0.25">
      <c r="A138" s="108">
        <v>8</v>
      </c>
      <c r="B138" s="130">
        <f t="shared" si="19"/>
        <v>11265.277862548828</v>
      </c>
      <c r="C138" s="104">
        <f t="shared" si="23"/>
        <v>76.88671875</v>
      </c>
      <c r="D138" s="114">
        <f t="shared" si="21"/>
        <v>19446.489368983679</v>
      </c>
      <c r="E138" s="129">
        <f t="shared" si="24"/>
        <v>369.98647962297719</v>
      </c>
      <c r="F138" s="93">
        <f t="shared" si="20"/>
        <v>1298.1981741157094</v>
      </c>
    </row>
    <row r="139" spans="1:6" s="108" customFormat="1" x14ac:dyDescent="0.25">
      <c r="A139" s="108">
        <v>9</v>
      </c>
      <c r="B139" s="130">
        <f t="shared" si="19"/>
        <v>14081.597328186035</v>
      </c>
      <c r="C139" s="104">
        <f t="shared" si="23"/>
        <v>115.330078125</v>
      </c>
      <c r="D139" s="114">
        <f t="shared" si="21"/>
        <v>24274.702601296562</v>
      </c>
      <c r="E139" s="129">
        <f t="shared" si="24"/>
        <v>461.84746197291787</v>
      </c>
      <c r="F139" s="93">
        <f t="shared" si="20"/>
        <v>1620.517410431291</v>
      </c>
    </row>
    <row r="140" spans="1:6" s="108" customFormat="1" x14ac:dyDescent="0.25">
      <c r="A140" s="108">
        <v>10</v>
      </c>
      <c r="B140" s="130">
        <f t="shared" si="19"/>
        <v>17601.996660232544</v>
      </c>
      <c r="C140" s="104">
        <f t="shared" si="23"/>
        <v>172.9951171875</v>
      </c>
      <c r="D140" s="114">
        <f t="shared" si="21"/>
        <v>30293.26458672115</v>
      </c>
      <c r="E140" s="129">
        <f t="shared" si="24"/>
        <v>576.35587113244208</v>
      </c>
      <c r="F140" s="93">
        <f t="shared" si="20"/>
        <v>2022.3013022190946</v>
      </c>
    </row>
    <row r="141" spans="1:6" s="108" customFormat="1" x14ac:dyDescent="0.25">
      <c r="A141" s="108">
        <v>11</v>
      </c>
      <c r="B141" s="130">
        <f t="shared" si="19"/>
        <v>22002.49582529068</v>
      </c>
      <c r="C141" s="104">
        <f t="shared" si="23"/>
        <v>259.49267578125</v>
      </c>
      <c r="D141" s="114">
        <f t="shared" si="21"/>
        <v>37791.410236052106</v>
      </c>
      <c r="E141" s="129">
        <f t="shared" si="24"/>
        <v>719.01465441499442</v>
      </c>
      <c r="F141" s="93">
        <f t="shared" si="20"/>
        <v>2522.8584365438401</v>
      </c>
    </row>
    <row r="142" spans="1:6" s="108" customFormat="1" x14ac:dyDescent="0.25">
      <c r="A142" s="108">
        <v>12</v>
      </c>
      <c r="B142" s="130">
        <f t="shared" si="19"/>
        <v>27503.11978161335</v>
      </c>
      <c r="C142" s="104">
        <f t="shared" si="23"/>
        <v>364.61267578125</v>
      </c>
      <c r="D142" s="114">
        <f t="shared" si="21"/>
        <v>47169.309969660557</v>
      </c>
      <c r="E142" s="129">
        <f t="shared" si="24"/>
        <v>897.43740429338959</v>
      </c>
      <c r="F142" s="93">
        <f t="shared" si="20"/>
        <v>3148.9031729592621</v>
      </c>
    </row>
    <row r="143" spans="1:6" s="108" customFormat="1" x14ac:dyDescent="0.25">
      <c r="A143" s="108">
        <v>13</v>
      </c>
      <c r="B143" s="130">
        <f t="shared" si="19"/>
        <v>34378.899727016687</v>
      </c>
      <c r="C143" s="104">
        <f t="shared" si="23"/>
        <v>469.73267578125001</v>
      </c>
      <c r="D143" s="114">
        <f t="shared" si="21"/>
        <v>58937.36177952827</v>
      </c>
      <c r="E143" s="129">
        <f t="shared" si="24"/>
        <v>1121.3348892604313</v>
      </c>
      <c r="F143" s="93">
        <f t="shared" si="20"/>
        <v>3934.5083833699346</v>
      </c>
    </row>
    <row r="144" spans="1:6" s="108" customFormat="1" x14ac:dyDescent="0.25">
      <c r="A144" s="108">
        <v>14</v>
      </c>
      <c r="B144" s="130">
        <f t="shared" si="19"/>
        <v>42973.624658770859</v>
      </c>
      <c r="C144" s="104">
        <f t="shared" si="23"/>
        <v>574.85267578125001</v>
      </c>
      <c r="D144" s="114">
        <f t="shared" si="21"/>
        <v>73693.103684720045</v>
      </c>
      <c r="E144" s="129">
        <f t="shared" si="24"/>
        <v>1402.075793088281</v>
      </c>
      <c r="F144" s="93">
        <f t="shared" si="20"/>
        <v>4919.5641862746706</v>
      </c>
    </row>
    <row r="145" spans="1:6" s="108" customFormat="1" x14ac:dyDescent="0.25">
      <c r="A145" s="108">
        <v>15</v>
      </c>
      <c r="B145" s="130">
        <f t="shared" si="19"/>
        <v>53717.030823463567</v>
      </c>
      <c r="C145" s="104">
        <f t="shared" si="23"/>
        <v>679.97267578125002</v>
      </c>
      <c r="D145" s="114">
        <f t="shared" si="21"/>
        <v>92183.458209066885</v>
      </c>
      <c r="E145" s="129">
        <f t="shared" si="24"/>
        <v>1753.87097049214</v>
      </c>
      <c r="F145" s="93">
        <f t="shared" si="20"/>
        <v>6153.9332297969822</v>
      </c>
    </row>
    <row r="146" spans="1:6" s="108" customFormat="1" x14ac:dyDescent="0.25"/>
    <row r="147" spans="1:6" s="108" customFormat="1" x14ac:dyDescent="0.25">
      <c r="A147" s="113" t="s">
        <v>130</v>
      </c>
    </row>
    <row r="148" spans="1:6" s="108" customFormat="1" x14ac:dyDescent="0.25"/>
    <row r="149" spans="1:6" x14ac:dyDescent="0.25">
      <c r="B149" s="109" t="s">
        <v>113</v>
      </c>
    </row>
    <row r="150" spans="1:6" x14ac:dyDescent="0.25">
      <c r="B150" s="109" t="s">
        <v>111</v>
      </c>
      <c r="C150" s="109" t="s">
        <v>106</v>
      </c>
      <c r="D150" s="109" t="s">
        <v>32</v>
      </c>
      <c r="E150" s="109" t="s">
        <v>32</v>
      </c>
    </row>
    <row r="151" spans="1:6" x14ac:dyDescent="0.25">
      <c r="A151" s="138" t="s">
        <v>8</v>
      </c>
      <c r="B151" s="109" t="s">
        <v>112</v>
      </c>
      <c r="C151" s="109" t="s">
        <v>107</v>
      </c>
      <c r="D151" s="109" t="s">
        <v>33</v>
      </c>
      <c r="E151" s="109" t="s">
        <v>105</v>
      </c>
    </row>
    <row r="152" spans="1:6" x14ac:dyDescent="0.25">
      <c r="A152" s="108">
        <v>0</v>
      </c>
      <c r="B152">
        <f t="shared" ref="B152:B167" si="25">FLOOR(LOG((memory15*1000*1000*1000)*POWER(1+memoryGrowth,A152)*ongoingResourcePercentage15, 2),1)</f>
        <v>29</v>
      </c>
      <c r="C152" s="141">
        <f t="shared" ref="C152:C167" si="26">$B$125*32*(LOG((endGameUsers*1000*1000*1000)*utxosPerUserEndGame, 2)-B152)</f>
        <v>674.63737880070312</v>
      </c>
      <c r="D152" s="129">
        <f t="shared" ref="D152:D167" si="27">(bandwidth15*ongoingResourcePercentage15*POWER(1+bandwidthGrowth,A152)*mbToGB*1000)*secondsPerBlock/2</f>
        <v>187.5</v>
      </c>
      <c r="E152" s="111">
        <f t="shared" ref="E152:E167" si="28">D152*1000*1000/secondsPerBlock/(2*(endGameTransactionSize+C152))</f>
        <v>135.91242150024675</v>
      </c>
    </row>
    <row r="153" spans="1:6" x14ac:dyDescent="0.25">
      <c r="A153" s="108">
        <v>1</v>
      </c>
      <c r="B153" s="108">
        <f t="shared" si="25"/>
        <v>29</v>
      </c>
      <c r="C153" s="141">
        <f t="shared" si="26"/>
        <v>674.63737880070312</v>
      </c>
      <c r="D153" s="129">
        <f t="shared" si="27"/>
        <v>234.375</v>
      </c>
      <c r="E153" s="111">
        <f t="shared" si="28"/>
        <v>169.89052687530844</v>
      </c>
    </row>
    <row r="154" spans="1:6" x14ac:dyDescent="0.25">
      <c r="A154" s="108">
        <v>2</v>
      </c>
      <c r="B154" s="108">
        <f t="shared" si="25"/>
        <v>29</v>
      </c>
      <c r="C154" s="141">
        <f t="shared" si="26"/>
        <v>674.63737880070312</v>
      </c>
      <c r="D154" s="129">
        <f t="shared" si="27"/>
        <v>292.96875</v>
      </c>
      <c r="E154" s="111">
        <f t="shared" si="28"/>
        <v>212.36315859413554</v>
      </c>
    </row>
    <row r="155" spans="1:6" x14ac:dyDescent="0.25">
      <c r="A155" s="108">
        <v>3</v>
      </c>
      <c r="B155" s="108">
        <f t="shared" si="25"/>
        <v>30</v>
      </c>
      <c r="C155" s="141">
        <f t="shared" si="26"/>
        <v>610.63737880070312</v>
      </c>
      <c r="D155" s="129">
        <f t="shared" si="27"/>
        <v>366.2109375</v>
      </c>
      <c r="E155" s="111">
        <f t="shared" si="28"/>
        <v>281.10286842474585</v>
      </c>
    </row>
    <row r="156" spans="1:6" x14ac:dyDescent="0.25">
      <c r="A156" s="108">
        <v>4</v>
      </c>
      <c r="B156" s="108">
        <f t="shared" si="25"/>
        <v>30</v>
      </c>
      <c r="C156" s="141">
        <f t="shared" si="26"/>
        <v>610.63737880070312</v>
      </c>
      <c r="D156" s="129">
        <f t="shared" si="27"/>
        <v>457.763671875</v>
      </c>
      <c r="E156" s="111">
        <f t="shared" si="28"/>
        <v>351.3785855309323</v>
      </c>
    </row>
    <row r="157" spans="1:6" x14ac:dyDescent="0.25">
      <c r="A157" s="108">
        <v>5</v>
      </c>
      <c r="B157" s="108">
        <f t="shared" si="25"/>
        <v>30</v>
      </c>
      <c r="C157" s="141">
        <f t="shared" si="26"/>
        <v>610.63737880070312</v>
      </c>
      <c r="D157" s="129">
        <f t="shared" si="27"/>
        <v>572.20458984375</v>
      </c>
      <c r="E157" s="111">
        <f t="shared" si="28"/>
        <v>439.22323191366536</v>
      </c>
    </row>
    <row r="158" spans="1:6" x14ac:dyDescent="0.25">
      <c r="A158" s="108">
        <v>6</v>
      </c>
      <c r="B158" s="108">
        <f t="shared" si="25"/>
        <v>30</v>
      </c>
      <c r="C158" s="141">
        <f t="shared" si="26"/>
        <v>610.63737880070312</v>
      </c>
      <c r="D158" s="129">
        <f t="shared" si="27"/>
        <v>715.2557373046875</v>
      </c>
      <c r="E158" s="111">
        <f t="shared" si="28"/>
        <v>549.02903989208176</v>
      </c>
    </row>
    <row r="159" spans="1:6" x14ac:dyDescent="0.25">
      <c r="A159" s="108">
        <v>7</v>
      </c>
      <c r="B159" s="108">
        <f t="shared" si="25"/>
        <v>30</v>
      </c>
      <c r="C159" s="141">
        <f t="shared" si="26"/>
        <v>610.63737880070312</v>
      </c>
      <c r="D159" s="129">
        <f t="shared" si="27"/>
        <v>894.06967163085937</v>
      </c>
      <c r="E159" s="111">
        <f t="shared" si="28"/>
        <v>686.28629986510214</v>
      </c>
    </row>
    <row r="160" spans="1:6" x14ac:dyDescent="0.25">
      <c r="A160" s="108">
        <v>8</v>
      </c>
      <c r="B160" s="108">
        <f t="shared" si="25"/>
        <v>31</v>
      </c>
      <c r="C160" s="141">
        <f t="shared" si="26"/>
        <v>546.63737880070312</v>
      </c>
      <c r="D160" s="129">
        <f t="shared" si="27"/>
        <v>1117.5870895385742</v>
      </c>
      <c r="E160" s="111">
        <f t="shared" si="28"/>
        <v>911.59798372760713</v>
      </c>
    </row>
    <row r="161" spans="1:5" x14ac:dyDescent="0.25">
      <c r="A161" s="108">
        <v>9</v>
      </c>
      <c r="B161" s="108">
        <f t="shared" si="25"/>
        <v>31</v>
      </c>
      <c r="C161" s="141">
        <f t="shared" si="26"/>
        <v>546.63737880070312</v>
      </c>
      <c r="D161" s="129">
        <f t="shared" si="27"/>
        <v>1396.9838619232178</v>
      </c>
      <c r="E161" s="111">
        <f t="shared" si="28"/>
        <v>1139.4974796595088</v>
      </c>
    </row>
    <row r="162" spans="1:5" x14ac:dyDescent="0.25">
      <c r="A162" s="108">
        <v>10</v>
      </c>
      <c r="B162" s="108">
        <f t="shared" si="25"/>
        <v>31</v>
      </c>
      <c r="C162" s="141">
        <f t="shared" si="26"/>
        <v>546.63737880070312</v>
      </c>
      <c r="D162" s="129">
        <f t="shared" si="27"/>
        <v>1746.2298274040222</v>
      </c>
      <c r="E162" s="111">
        <f t="shared" si="28"/>
        <v>1424.371849574386</v>
      </c>
    </row>
    <row r="163" spans="1:5" x14ac:dyDescent="0.25">
      <c r="A163" s="108">
        <v>11</v>
      </c>
      <c r="B163" s="108">
        <f t="shared" si="25"/>
        <v>31</v>
      </c>
      <c r="C163" s="141">
        <f t="shared" si="26"/>
        <v>546.63737880070312</v>
      </c>
      <c r="D163" s="129">
        <f t="shared" si="27"/>
        <v>2182.7872842550278</v>
      </c>
      <c r="E163" s="111">
        <f t="shared" si="28"/>
        <v>1780.4648119679825</v>
      </c>
    </row>
    <row r="164" spans="1:5" x14ac:dyDescent="0.25">
      <c r="A164" s="108">
        <v>12</v>
      </c>
      <c r="B164" s="108">
        <f t="shared" si="25"/>
        <v>31</v>
      </c>
      <c r="C164" s="141">
        <f t="shared" si="26"/>
        <v>546.63737880070312</v>
      </c>
      <c r="D164" s="129">
        <f t="shared" si="27"/>
        <v>2728.4841053187847</v>
      </c>
      <c r="E164" s="111">
        <f t="shared" si="28"/>
        <v>2225.5810149599783</v>
      </c>
    </row>
    <row r="165" spans="1:5" x14ac:dyDescent="0.25">
      <c r="A165" s="108">
        <v>13</v>
      </c>
      <c r="B165" s="108">
        <f t="shared" si="25"/>
        <v>32</v>
      </c>
      <c r="C165" s="141">
        <f t="shared" si="26"/>
        <v>482.63737880070312</v>
      </c>
      <c r="D165" s="129">
        <f t="shared" si="27"/>
        <v>3410.6051316484809</v>
      </c>
      <c r="E165" s="111">
        <f t="shared" si="28"/>
        <v>2967.8989207791706</v>
      </c>
    </row>
    <row r="166" spans="1:5" x14ac:dyDescent="0.25">
      <c r="A166" s="108">
        <v>14</v>
      </c>
      <c r="B166" s="108">
        <f t="shared" si="25"/>
        <v>32</v>
      </c>
      <c r="C166" s="141">
        <f t="shared" si="26"/>
        <v>482.63737880070312</v>
      </c>
      <c r="D166" s="129">
        <f t="shared" si="27"/>
        <v>4263.2564145606011</v>
      </c>
      <c r="E166" s="111">
        <f t="shared" si="28"/>
        <v>3709.8736509739633</v>
      </c>
    </row>
    <row r="167" spans="1:5" x14ac:dyDescent="0.25">
      <c r="A167" s="108">
        <v>15</v>
      </c>
      <c r="B167" s="108">
        <f t="shared" si="25"/>
        <v>32</v>
      </c>
      <c r="C167" s="141">
        <f t="shared" si="26"/>
        <v>482.63737880070312</v>
      </c>
      <c r="D167" s="129">
        <f t="shared" si="27"/>
        <v>5329.0705182007514</v>
      </c>
      <c r="E167" s="111">
        <f t="shared" si="28"/>
        <v>4637.342063717454</v>
      </c>
    </row>
    <row r="169" spans="1:5" x14ac:dyDescent="0.25">
      <c r="A169" s="113" t="s">
        <v>117</v>
      </c>
    </row>
    <row r="171" spans="1:5" x14ac:dyDescent="0.25">
      <c r="A171" s="108"/>
      <c r="B171" s="109" t="s">
        <v>113</v>
      </c>
      <c r="C171" s="108"/>
      <c r="D171" s="108"/>
      <c r="E171" s="108"/>
    </row>
    <row r="172" spans="1:5" x14ac:dyDescent="0.25">
      <c r="A172" s="108"/>
      <c r="B172" s="109" t="s">
        <v>111</v>
      </c>
      <c r="C172" s="109" t="s">
        <v>106</v>
      </c>
      <c r="D172" s="109" t="s">
        <v>32</v>
      </c>
      <c r="E172" s="109" t="s">
        <v>32</v>
      </c>
    </row>
    <row r="173" spans="1:5" x14ac:dyDescent="0.25">
      <c r="A173" s="139" t="s">
        <v>8</v>
      </c>
      <c r="B173" s="109" t="s">
        <v>112</v>
      </c>
      <c r="C173" s="109" t="s">
        <v>107</v>
      </c>
      <c r="D173" s="109" t="s">
        <v>33</v>
      </c>
      <c r="E173" s="109" t="s">
        <v>105</v>
      </c>
    </row>
    <row r="174" spans="1:5" x14ac:dyDescent="0.25">
      <c r="A174" s="108">
        <v>0</v>
      </c>
      <c r="B174" s="108">
        <f t="shared" ref="B174:B189" si="29">FLOOR(LOG((memory15*1000*1000*1000)*POWER(1+memoryGrowth,A174)*ongoingResourcePercentage15, 2),1)</f>
        <v>29</v>
      </c>
      <c r="C174" s="141">
        <f t="shared" ref="C174:C189" si="30">$B$125*32*(LOG((endGameUsers*1000*1000*1000)*utxosPerUserEndGame, 2)-B174)</f>
        <v>674.63737880070312</v>
      </c>
      <c r="D174" s="129">
        <f t="shared" ref="D174:D189" si="31">(bandwidth15*endGameEmergencyUsage*POWER(1+bandwidthGrowth,A174)*mbToGB*1000)*secondsPerBlock/2</f>
        <v>1406.25</v>
      </c>
      <c r="E174" s="111">
        <f t="shared" ref="E174:E189" si="32">D174*1000*1000/secondsPerBlock/(2*(endGameTransactionSize+C174))</f>
        <v>1019.3431612518506</v>
      </c>
    </row>
    <row r="175" spans="1:5" x14ac:dyDescent="0.25">
      <c r="A175" s="108">
        <v>1</v>
      </c>
      <c r="B175" s="108">
        <f t="shared" si="29"/>
        <v>29</v>
      </c>
      <c r="C175" s="141">
        <f t="shared" si="30"/>
        <v>674.63737880070312</v>
      </c>
      <c r="D175" s="129">
        <f t="shared" si="31"/>
        <v>1757.8125</v>
      </c>
      <c r="E175" s="111">
        <f t="shared" si="32"/>
        <v>1274.1789515648134</v>
      </c>
    </row>
    <row r="176" spans="1:5" x14ac:dyDescent="0.25">
      <c r="A176" s="108">
        <v>2</v>
      </c>
      <c r="B176" s="108">
        <f t="shared" si="29"/>
        <v>29</v>
      </c>
      <c r="C176" s="141">
        <f t="shared" si="30"/>
        <v>674.63737880070312</v>
      </c>
      <c r="D176" s="129">
        <f t="shared" si="31"/>
        <v>2197.265625</v>
      </c>
      <c r="E176" s="111">
        <f t="shared" si="32"/>
        <v>1592.7236894560167</v>
      </c>
    </row>
    <row r="177" spans="1:5" x14ac:dyDescent="0.25">
      <c r="A177" s="108">
        <v>3</v>
      </c>
      <c r="B177" s="108">
        <f t="shared" si="29"/>
        <v>30</v>
      </c>
      <c r="C177" s="141">
        <f t="shared" si="30"/>
        <v>610.63737880070312</v>
      </c>
      <c r="D177" s="129">
        <f t="shared" si="31"/>
        <v>2746.58203125</v>
      </c>
      <c r="E177" s="111">
        <f t="shared" si="32"/>
        <v>2108.2715131855939</v>
      </c>
    </row>
    <row r="178" spans="1:5" x14ac:dyDescent="0.25">
      <c r="A178" s="108">
        <v>4</v>
      </c>
      <c r="B178" s="108">
        <f t="shared" si="29"/>
        <v>30</v>
      </c>
      <c r="C178" s="141">
        <f t="shared" si="30"/>
        <v>610.63737880070312</v>
      </c>
      <c r="D178" s="129">
        <f t="shared" si="31"/>
        <v>3433.2275390625</v>
      </c>
      <c r="E178" s="111">
        <f t="shared" si="32"/>
        <v>2635.3393914819922</v>
      </c>
    </row>
    <row r="179" spans="1:5" x14ac:dyDescent="0.25">
      <c r="A179" s="108">
        <v>5</v>
      </c>
      <c r="B179" s="108">
        <f t="shared" si="29"/>
        <v>30</v>
      </c>
      <c r="C179" s="141">
        <f t="shared" si="30"/>
        <v>610.63737880070312</v>
      </c>
      <c r="D179" s="129">
        <f t="shared" si="31"/>
        <v>4291.534423828125</v>
      </c>
      <c r="E179" s="111">
        <f t="shared" si="32"/>
        <v>3294.1742393524901</v>
      </c>
    </row>
    <row r="180" spans="1:5" x14ac:dyDescent="0.25">
      <c r="A180" s="108">
        <v>6</v>
      </c>
      <c r="B180" s="108">
        <f t="shared" si="29"/>
        <v>30</v>
      </c>
      <c r="C180" s="141">
        <f t="shared" si="30"/>
        <v>610.63737880070312</v>
      </c>
      <c r="D180" s="129">
        <f t="shared" si="31"/>
        <v>5364.4180297851562</v>
      </c>
      <c r="E180" s="111">
        <f t="shared" si="32"/>
        <v>4117.7177991906128</v>
      </c>
    </row>
    <row r="181" spans="1:5" x14ac:dyDescent="0.25">
      <c r="A181" s="108">
        <v>7</v>
      </c>
      <c r="B181" s="108">
        <f t="shared" si="29"/>
        <v>30</v>
      </c>
      <c r="C181" s="141">
        <f t="shared" si="30"/>
        <v>610.63737880070312</v>
      </c>
      <c r="D181" s="129">
        <f t="shared" si="31"/>
        <v>6705.5225372314453</v>
      </c>
      <c r="E181" s="111">
        <f t="shared" si="32"/>
        <v>5147.1472489882663</v>
      </c>
    </row>
    <row r="182" spans="1:5" x14ac:dyDescent="0.25">
      <c r="A182" s="108">
        <v>8</v>
      </c>
      <c r="B182" s="108">
        <f t="shared" si="29"/>
        <v>31</v>
      </c>
      <c r="C182" s="141">
        <f t="shared" si="30"/>
        <v>546.63737880070312</v>
      </c>
      <c r="D182" s="129">
        <f t="shared" si="31"/>
        <v>8381.9031715393066</v>
      </c>
      <c r="E182" s="111">
        <f t="shared" si="32"/>
        <v>6836.984877957053</v>
      </c>
    </row>
    <row r="183" spans="1:5" x14ac:dyDescent="0.25">
      <c r="A183" s="108">
        <v>9</v>
      </c>
      <c r="B183" s="108">
        <f t="shared" si="29"/>
        <v>31</v>
      </c>
      <c r="C183" s="141">
        <f t="shared" si="30"/>
        <v>546.63737880070312</v>
      </c>
      <c r="D183" s="129">
        <f t="shared" si="31"/>
        <v>10477.378964424133</v>
      </c>
      <c r="E183" s="111">
        <f t="shared" si="32"/>
        <v>8546.2310974463162</v>
      </c>
    </row>
    <row r="184" spans="1:5" x14ac:dyDescent="0.25">
      <c r="A184" s="108">
        <v>10</v>
      </c>
      <c r="B184" s="108">
        <f t="shared" si="29"/>
        <v>31</v>
      </c>
      <c r="C184" s="141">
        <f t="shared" si="30"/>
        <v>546.63737880070312</v>
      </c>
      <c r="D184" s="129">
        <f t="shared" si="31"/>
        <v>13096.723705530167</v>
      </c>
      <c r="E184" s="111">
        <f t="shared" si="32"/>
        <v>10682.788871807896</v>
      </c>
    </row>
    <row r="185" spans="1:5" x14ac:dyDescent="0.25">
      <c r="A185" s="108">
        <v>11</v>
      </c>
      <c r="B185" s="108">
        <f t="shared" si="29"/>
        <v>31</v>
      </c>
      <c r="C185" s="141">
        <f t="shared" si="30"/>
        <v>546.63737880070312</v>
      </c>
      <c r="D185" s="129">
        <f t="shared" si="31"/>
        <v>16370.904631912708</v>
      </c>
      <c r="E185" s="111">
        <f t="shared" si="32"/>
        <v>13353.48608975987</v>
      </c>
    </row>
    <row r="186" spans="1:5" x14ac:dyDescent="0.25">
      <c r="A186" s="108">
        <v>12</v>
      </c>
      <c r="B186" s="108">
        <f t="shared" si="29"/>
        <v>31</v>
      </c>
      <c r="C186" s="141">
        <f t="shared" si="30"/>
        <v>546.63737880070312</v>
      </c>
      <c r="D186" s="129">
        <f t="shared" si="31"/>
        <v>20463.630789890885</v>
      </c>
      <c r="E186" s="111">
        <f t="shared" si="32"/>
        <v>16691.857612199838</v>
      </c>
    </row>
    <row r="187" spans="1:5" x14ac:dyDescent="0.25">
      <c r="A187" s="108">
        <v>13</v>
      </c>
      <c r="B187" s="108">
        <f t="shared" si="29"/>
        <v>32</v>
      </c>
      <c r="C187" s="141">
        <f t="shared" si="30"/>
        <v>482.63737880070312</v>
      </c>
      <c r="D187" s="129">
        <f t="shared" si="31"/>
        <v>25579.538487363607</v>
      </c>
      <c r="E187" s="111">
        <f t="shared" si="32"/>
        <v>22259.241905843781</v>
      </c>
    </row>
    <row r="188" spans="1:5" x14ac:dyDescent="0.25">
      <c r="A188" s="108">
        <v>14</v>
      </c>
      <c r="B188" s="108">
        <f t="shared" si="29"/>
        <v>32</v>
      </c>
      <c r="C188" s="141">
        <f t="shared" si="30"/>
        <v>482.63737880070312</v>
      </c>
      <c r="D188" s="129">
        <f t="shared" si="31"/>
        <v>31974.423109204508</v>
      </c>
      <c r="E188" s="111">
        <f t="shared" si="32"/>
        <v>27824.052382304726</v>
      </c>
    </row>
    <row r="189" spans="1:5" x14ac:dyDescent="0.25">
      <c r="A189" s="108">
        <v>15</v>
      </c>
      <c r="B189" s="108">
        <f t="shared" si="29"/>
        <v>32</v>
      </c>
      <c r="C189" s="141">
        <f t="shared" si="30"/>
        <v>482.63737880070312</v>
      </c>
      <c r="D189" s="129">
        <f t="shared" si="31"/>
        <v>39968.028886505635</v>
      </c>
      <c r="E189" s="111">
        <f t="shared" si="32"/>
        <v>34780.065477880904</v>
      </c>
    </row>
    <row r="191" spans="1:5" x14ac:dyDescent="0.25">
      <c r="A191" s="113" t="s">
        <v>124</v>
      </c>
    </row>
    <row r="193" spans="1:8" x14ac:dyDescent="0.25">
      <c r="B193" s="109" t="s">
        <v>125</v>
      </c>
      <c r="C193" s="109" t="s">
        <v>126</v>
      </c>
      <c r="D193" s="109" t="s">
        <v>128</v>
      </c>
    </row>
    <row r="194" spans="1:8" x14ac:dyDescent="0.25">
      <c r="B194" s="109" t="s">
        <v>110</v>
      </c>
      <c r="C194" s="109" t="s">
        <v>127</v>
      </c>
      <c r="D194" s="109" t="s">
        <v>117</v>
      </c>
    </row>
    <row r="195" spans="1:8" x14ac:dyDescent="0.25">
      <c r="B195" s="121">
        <v>3</v>
      </c>
      <c r="C195" s="24">
        <v>30</v>
      </c>
      <c r="D195" s="144">
        <f>(endGameUsers*1000*1000*1000)*(B195/2)/(C195*24*60*60)</f>
        <v>4629.6296296296296</v>
      </c>
    </row>
    <row r="197" spans="1:8" x14ac:dyDescent="0.25">
      <c r="A197" s="113" t="s">
        <v>133</v>
      </c>
    </row>
    <row r="198" spans="1:8" x14ac:dyDescent="0.25">
      <c r="D198" s="109"/>
      <c r="E198" s="109"/>
      <c r="F198" s="109"/>
      <c r="G198" s="109" t="s">
        <v>32</v>
      </c>
      <c r="H198" s="109" t="s">
        <v>32</v>
      </c>
    </row>
    <row r="199" spans="1:8" x14ac:dyDescent="0.25">
      <c r="D199" s="109" t="s">
        <v>68</v>
      </c>
      <c r="E199" s="109" t="s">
        <v>69</v>
      </c>
      <c r="F199" s="109" t="s">
        <v>18</v>
      </c>
      <c r="G199" s="109" t="s">
        <v>97</v>
      </c>
      <c r="H199" s="109" t="s">
        <v>36</v>
      </c>
    </row>
    <row r="200" spans="1:8" ht="15.75" x14ac:dyDescent="0.25">
      <c r="A200" s="147" t="s">
        <v>130</v>
      </c>
      <c r="B200" s="147"/>
      <c r="C200" s="147"/>
      <c r="D200" s="106" t="str">
        <f>$A$120</f>
        <v>10th %ile</v>
      </c>
      <c r="E200" s="111">
        <f>E152</f>
        <v>135.91242150024675</v>
      </c>
      <c r="F200" s="134">
        <f>D152</f>
        <v>187.5</v>
      </c>
      <c r="G200" s="135" t="s">
        <v>5</v>
      </c>
      <c r="H200" s="135" t="s">
        <v>5</v>
      </c>
    </row>
    <row r="201" spans="1:8" ht="15.75" x14ac:dyDescent="0.25">
      <c r="A201" s="147" t="s">
        <v>131</v>
      </c>
      <c r="B201" s="147"/>
      <c r="C201" s="147"/>
      <c r="D201" s="106" t="str">
        <f>$A$120</f>
        <v>10th %ile</v>
      </c>
      <c r="E201" s="46">
        <f>F130</f>
        <v>218.95015316067949</v>
      </c>
      <c r="F201" s="134">
        <f>E130</f>
        <v>62.400793650793652</v>
      </c>
      <c r="G201" s="135" t="s">
        <v>5</v>
      </c>
      <c r="H201" s="135" t="s">
        <v>5</v>
      </c>
    </row>
    <row r="202" spans="1:8" s="108" customFormat="1" ht="15.75" x14ac:dyDescent="0.25">
      <c r="A202" s="147" t="s">
        <v>117</v>
      </c>
      <c r="B202" s="147"/>
      <c r="C202" s="147"/>
      <c r="D202" s="106" t="str">
        <f>$A$120</f>
        <v>10th %ile</v>
      </c>
      <c r="E202" s="111">
        <f>E174</f>
        <v>1019.3431612518506</v>
      </c>
      <c r="F202" s="134">
        <f>D174</f>
        <v>1406.25</v>
      </c>
      <c r="G202" s="135" t="s">
        <v>5</v>
      </c>
      <c r="H202" s="135" t="s">
        <v>5</v>
      </c>
    </row>
    <row r="204" spans="1:8" x14ac:dyDescent="0.25">
      <c r="A204" s="113" t="s">
        <v>134</v>
      </c>
      <c r="B204" s="108"/>
      <c r="C204" s="108"/>
    </row>
    <row r="205" spans="1:8" x14ac:dyDescent="0.25">
      <c r="A205" s="108"/>
      <c r="B205" s="108"/>
      <c r="C205" s="108"/>
      <c r="D205" s="109"/>
      <c r="E205" s="109"/>
      <c r="F205" s="109"/>
      <c r="G205" s="109" t="s">
        <v>32</v>
      </c>
      <c r="H205" s="109" t="s">
        <v>32</v>
      </c>
    </row>
    <row r="206" spans="1:8" x14ac:dyDescent="0.25">
      <c r="D206" s="109" t="s">
        <v>68</v>
      </c>
      <c r="E206" s="109" t="s">
        <v>69</v>
      </c>
      <c r="F206" s="109" t="s">
        <v>18</v>
      </c>
      <c r="G206" s="109" t="s">
        <v>97</v>
      </c>
      <c r="H206" s="109" t="s">
        <v>36</v>
      </c>
    </row>
    <row r="207" spans="1:8" ht="15.75" x14ac:dyDescent="0.25">
      <c r="A207" s="147" t="s">
        <v>130</v>
      </c>
      <c r="B207" s="147"/>
      <c r="C207" s="147"/>
      <c r="D207" s="106" t="str">
        <f>$A$120</f>
        <v>10th %ile</v>
      </c>
      <c r="E207" s="111">
        <f>E162</f>
        <v>1424.371849574386</v>
      </c>
      <c r="F207" s="134">
        <f>D162</f>
        <v>1746.2298274040222</v>
      </c>
      <c r="G207" s="135" t="s">
        <v>5</v>
      </c>
      <c r="H207" s="135" t="s">
        <v>5</v>
      </c>
    </row>
    <row r="208" spans="1:8" ht="15.75" x14ac:dyDescent="0.25">
      <c r="A208" s="147" t="s">
        <v>131</v>
      </c>
      <c r="B208" s="147"/>
      <c r="C208" s="147"/>
      <c r="D208" s="106" t="str">
        <f>$A$120</f>
        <v>10th %ile</v>
      </c>
      <c r="E208" s="46">
        <f>F140</f>
        <v>2022.3013022190946</v>
      </c>
      <c r="F208" s="134">
        <f>E140</f>
        <v>576.35587113244208</v>
      </c>
      <c r="G208" s="135" t="s">
        <v>5</v>
      </c>
      <c r="H208" s="135" t="s">
        <v>5</v>
      </c>
    </row>
    <row r="209" spans="1:8" ht="15.75" x14ac:dyDescent="0.25">
      <c r="A209" s="147" t="s">
        <v>117</v>
      </c>
      <c r="B209" s="147"/>
      <c r="C209" s="147"/>
      <c r="D209" s="106" t="str">
        <f>$A$120</f>
        <v>10th %ile</v>
      </c>
      <c r="E209" s="111">
        <f>E184</f>
        <v>10682.788871807896</v>
      </c>
      <c r="F209" s="134">
        <f>D184</f>
        <v>13096.723705530167</v>
      </c>
      <c r="G209" s="135" t="s">
        <v>5</v>
      </c>
      <c r="H209" s="135" t="s">
        <v>5</v>
      </c>
    </row>
  </sheetData>
  <mergeCells count="12">
    <mergeCell ref="A209:C209"/>
    <mergeCell ref="A208:C208"/>
    <mergeCell ref="A110:C110"/>
    <mergeCell ref="A111:C111"/>
    <mergeCell ref="A113:C113"/>
    <mergeCell ref="A108:C108"/>
    <mergeCell ref="A112:C112"/>
    <mergeCell ref="A109:C109"/>
    <mergeCell ref="A207:C207"/>
    <mergeCell ref="A200:C200"/>
    <mergeCell ref="A201:C201"/>
    <mergeCell ref="A202:C202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F108:F109</xm:sqref>
        </x14:conditionalFormatting>
        <x14:conditionalFormatting xmlns:xm="http://schemas.microsoft.com/office/excel/2006/main">
          <x14:cfRule type="cellIs" priority="12" operator="lessThan" id="{A26EE87F-1C32-41E6-AC03-91370DB0C051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E108:E113 E202 E200</xm:sqref>
        </x14:conditionalFormatting>
        <x14:conditionalFormatting xmlns:xm="http://schemas.microsoft.com/office/excel/2006/main">
          <x14:cfRule type="cellIs" priority="11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G108:G110 G113</xm:sqref>
        </x14:conditionalFormatting>
        <x14:conditionalFormatting xmlns:xm="http://schemas.microsoft.com/office/excel/2006/main">
          <x14:cfRule type="cellIs" priority="6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F110:F113</xm:sqref>
        </x14:conditionalFormatting>
        <x14:conditionalFormatting xmlns:xm="http://schemas.microsoft.com/office/excel/2006/main">
          <x14:cfRule type="cellIs" priority="3" operator="lessThan" id="{8FB7B753-C1D7-4AB1-8C28-AF407E639D0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F200:F202</xm:sqref>
        </x14:conditionalFormatting>
        <x14:conditionalFormatting xmlns:xm="http://schemas.microsoft.com/office/excel/2006/main">
          <x14:cfRule type="cellIs" priority="2" operator="lessThan" id="{F69B60C6-2386-48E1-AF9E-DB8B0480E3DE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E209 E207</xm:sqref>
        </x14:conditionalFormatting>
        <x14:conditionalFormatting xmlns:xm="http://schemas.microsoft.com/office/excel/2006/main">
          <x14:cfRule type="cellIs" priority="1" operator="lessThan" id="{3D4FB6AB-EB61-4230-B3E1-02B34DEC658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F207:F209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79</vt:i4>
      </vt:variant>
    </vt:vector>
  </HeadingPairs>
  <TitlesOfParts>
    <vt:vector size="82" baseType="lpstr">
      <vt:lpstr>Current Bitcoin</vt:lpstr>
      <vt:lpstr>Future Bitcoin</vt:lpstr>
      <vt:lpstr>Sheet3</vt:lpstr>
      <vt:lpstr>assumevalidBlockTime</vt:lpstr>
      <vt:lpstr>assumevalidSpeedup</vt:lpstr>
      <vt:lpstr>avgTrSize</vt:lpstr>
      <vt:lpstr>bandwidth1</vt:lpstr>
      <vt:lpstr>bandwidth10</vt:lpstr>
      <vt:lpstr>bandwidth15</vt:lpstr>
      <vt:lpstr>bandwidth2</vt:lpstr>
      <vt:lpstr>bandwidth3</vt:lpstr>
      <vt:lpstr>bandwidth8</vt:lpstr>
      <vt:lpstr>bandwidth8p9</vt:lpstr>
      <vt:lpstr>bandwidth9</vt:lpstr>
      <vt:lpstr>bandwidthGrowth</vt:lpstr>
      <vt:lpstr>cpuGrowth</vt:lpstr>
      <vt:lpstr>curChainSize</vt:lpstr>
      <vt:lpstr>curMaxBlocksize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minPublicNodeConnections</vt:lpstr>
      <vt:lpstr>ongoingResourcePercent6</vt:lpstr>
      <vt:lpstr>ongoingResourcePercent6p5</vt:lpstr>
      <vt:lpstr>ongoingResourcePercent7</vt:lpstr>
      <vt:lpstr>ongoingResourcePercentage15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privateNodePercent</vt:lpstr>
      <vt:lpstr>publicConnections8</vt:lpstr>
      <vt:lpstr>publicConnections9</vt:lpstr>
      <vt:lpstr>publicNodePercent</vt:lpstr>
      <vt:lpstr>recentSyncTime11</vt:lpstr>
      <vt:lpstr>recentSyncTime15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throughput1</vt:lpstr>
      <vt:lpstr>throughput11</vt:lpstr>
      <vt:lpstr>throughput12</vt:lpstr>
      <vt:lpstr>throughput2</vt:lpstr>
      <vt:lpstr>throughput3</vt:lpstr>
      <vt:lpstr>throughput5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2019-06-20T17:07:56Z</dcterms:modified>
</cp:coreProperties>
</file>