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a\Desktop\PhD\3 SLI-Aptitude\data\combined-data-tables\"/>
    </mc:Choice>
  </mc:AlternateContent>
  <xr:revisionPtr revIDLastSave="0" documentId="13_ncr:1_{49E0A534-F56F-42B3-BD9F-113BE4052910}" xr6:coauthVersionLast="47" xr6:coauthVersionMax="47" xr10:uidLastSave="{00000000-0000-0000-0000-000000000000}"/>
  <bookViews>
    <workbookView xWindow="-120" yWindow="-120" windowWidth="29040" windowHeight="15720" tabRatio="727" activeTab="6" xr2:uid="{00000000-000D-0000-FFFF-FFFF00000000}"/>
  </bookViews>
  <sheets>
    <sheet name="Data" sheetId="1" r:id="rId1"/>
    <sheet name="NBack" sheetId="5" r:id="rId2"/>
    <sheet name="Rotation" sheetId="6" r:id="rId3"/>
    <sheet name="Corsi" sheetId="7" r:id="rId4"/>
    <sheet name="Reading" sheetId="8" r:id="rId5"/>
    <sheet name="Matrices" sheetId="9" r:id="rId6"/>
    <sheet name="Session1_only" sheetId="4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N15" i="1"/>
  <c r="M15" i="1"/>
  <c r="L15" i="1"/>
  <c r="K15" i="1"/>
  <c r="J15" i="1"/>
  <c r="I15" i="1"/>
  <c r="H15" i="1"/>
  <c r="F15" i="1"/>
  <c r="E15" i="1"/>
  <c r="R29" i="1"/>
  <c r="Q29" i="1"/>
  <c r="O29" i="1"/>
  <c r="N29" i="1"/>
  <c r="M29" i="1"/>
  <c r="L29" i="1"/>
  <c r="K29" i="1"/>
  <c r="J29" i="1"/>
  <c r="I29" i="1"/>
  <c r="S28" i="1"/>
  <c r="P28" i="1"/>
  <c r="S27" i="1"/>
  <c r="P27" i="1"/>
  <c r="S26" i="1"/>
  <c r="P26" i="1"/>
  <c r="S25" i="1"/>
  <c r="P25" i="1"/>
  <c r="S24" i="1"/>
  <c r="P24" i="1"/>
  <c r="S23" i="1"/>
  <c r="P23" i="1"/>
  <c r="S22" i="1"/>
  <c r="P22" i="1"/>
  <c r="S21" i="1"/>
  <c r="P21" i="1"/>
  <c r="S20" i="1"/>
  <c r="P20" i="1"/>
  <c r="S19" i="1"/>
  <c r="P19" i="1"/>
  <c r="P14" i="1"/>
  <c r="P13" i="1"/>
  <c r="P12" i="1"/>
  <c r="P11" i="1"/>
  <c r="P10" i="1"/>
  <c r="P9" i="1"/>
  <c r="P8" i="1"/>
  <c r="P7" i="1"/>
  <c r="P6" i="1"/>
  <c r="P5" i="1"/>
  <c r="P4" i="1"/>
  <c r="S18" i="1"/>
  <c r="S29" i="1" s="1"/>
  <c r="P18" i="1"/>
  <c r="P29" i="1" l="1"/>
  <c r="P15" i="1"/>
  <c r="H28" i="1"/>
  <c r="H26" i="1"/>
  <c r="H23" i="1"/>
  <c r="H22" i="1"/>
  <c r="H21" i="1"/>
  <c r="H20" i="1"/>
  <c r="H19" i="1"/>
  <c r="H18" i="1"/>
  <c r="F28" i="1"/>
  <c r="E28" i="1"/>
  <c r="G28" i="1" s="1"/>
  <c r="F26" i="1"/>
  <c r="E26" i="1"/>
  <c r="G26" i="1" s="1"/>
  <c r="F23" i="1"/>
  <c r="E23" i="1"/>
  <c r="G23" i="1" s="1"/>
  <c r="F22" i="1"/>
  <c r="E22" i="1"/>
  <c r="F21" i="1"/>
  <c r="E21" i="1"/>
  <c r="G21" i="1" s="1"/>
  <c r="F20" i="1"/>
  <c r="E20" i="1"/>
  <c r="F19" i="1"/>
  <c r="E19" i="1"/>
  <c r="G19" i="1" s="1"/>
  <c r="F18" i="1"/>
  <c r="E18" i="1"/>
  <c r="G22" i="1" l="1"/>
  <c r="G18" i="1"/>
  <c r="G20" i="1"/>
  <c r="H24" i="1"/>
  <c r="F24" i="1"/>
  <c r="F29" i="1" s="1"/>
  <c r="E24" i="1"/>
  <c r="H27" i="1"/>
  <c r="H25" i="1"/>
  <c r="F27" i="1"/>
  <c r="E27" i="1"/>
  <c r="E25" i="1"/>
  <c r="F25" i="1"/>
  <c r="R23" i="4"/>
  <c r="Q23" i="4"/>
  <c r="O23" i="4"/>
  <c r="N23" i="4"/>
  <c r="M23" i="4"/>
  <c r="L23" i="4"/>
  <c r="K23" i="4"/>
  <c r="J23" i="4"/>
  <c r="I23" i="4"/>
  <c r="H23" i="4"/>
  <c r="F23" i="4"/>
  <c r="E23" i="4"/>
  <c r="S16" i="4"/>
  <c r="P16" i="4"/>
  <c r="G16" i="4"/>
  <c r="S13" i="4"/>
  <c r="P13" i="4"/>
  <c r="G13" i="4"/>
  <c r="S10" i="4"/>
  <c r="P10" i="4"/>
  <c r="G10" i="4"/>
  <c r="S8" i="4"/>
  <c r="P8" i="4"/>
  <c r="G8" i="4"/>
  <c r="S21" i="4"/>
  <c r="P21" i="4"/>
  <c r="G21" i="4"/>
  <c r="S20" i="4"/>
  <c r="P20" i="4"/>
  <c r="G20" i="4"/>
  <c r="S9" i="4"/>
  <c r="P9" i="4"/>
  <c r="G9" i="4"/>
  <c r="S22" i="4"/>
  <c r="P22" i="4"/>
  <c r="G22" i="4"/>
  <c r="S19" i="4"/>
  <c r="P19" i="4"/>
  <c r="G19" i="4"/>
  <c r="S18" i="4"/>
  <c r="P18" i="4"/>
  <c r="G18" i="4"/>
  <c r="S14" i="4"/>
  <c r="P14" i="4"/>
  <c r="G14" i="4"/>
  <c r="S5" i="4"/>
  <c r="P5" i="4"/>
  <c r="G5" i="4"/>
  <c r="S17" i="4"/>
  <c r="P17" i="4"/>
  <c r="G17" i="4"/>
  <c r="S7" i="4"/>
  <c r="P7" i="4"/>
  <c r="G7" i="4"/>
  <c r="S12" i="4"/>
  <c r="P12" i="4"/>
  <c r="G12" i="4"/>
  <c r="S4" i="4"/>
  <c r="P4" i="4"/>
  <c r="G4" i="4"/>
  <c r="S6" i="4"/>
  <c r="P6" i="4"/>
  <c r="G6" i="4"/>
  <c r="S11" i="4"/>
  <c r="P11" i="4"/>
  <c r="G11" i="4"/>
  <c r="S15" i="4"/>
  <c r="P15" i="4"/>
  <c r="P23" i="4" s="1"/>
  <c r="G15" i="4"/>
  <c r="H29" i="1" l="1"/>
  <c r="E29" i="1"/>
  <c r="G24" i="1"/>
  <c r="S23" i="4"/>
  <c r="G23" i="4"/>
  <c r="G27" i="1"/>
  <c r="G25" i="1"/>
  <c r="G29" i="1" l="1"/>
  <c r="G14" i="1"/>
  <c r="S14" i="1"/>
  <c r="G13" i="1"/>
  <c r="G12" i="1"/>
  <c r="S13" i="1"/>
  <c r="S12" i="1"/>
  <c r="G11" i="1"/>
  <c r="S11" i="1" l="1"/>
  <c r="S5" i="1" l="1"/>
  <c r="S6" i="1"/>
  <c r="S7" i="1"/>
  <c r="S8" i="1"/>
  <c r="S9" i="1"/>
  <c r="S10" i="1"/>
  <c r="S4" i="1"/>
  <c r="G10" i="1"/>
  <c r="G9" i="1"/>
  <c r="G8" i="1"/>
  <c r="G7" i="1"/>
  <c r="G4" i="1"/>
  <c r="G5" i="1"/>
  <c r="G6" i="1"/>
  <c r="S15" i="1" l="1"/>
  <c r="G15" i="1"/>
</calcChain>
</file>

<file path=xl/sharedStrings.xml><?xml version="1.0" encoding="utf-8"?>
<sst xmlns="http://schemas.openxmlformats.org/spreadsheetml/2006/main" count="269" uniqueCount="108">
  <si>
    <t>HW001</t>
  </si>
  <si>
    <t>HW002</t>
  </si>
  <si>
    <t>Participant</t>
  </si>
  <si>
    <t>Shape Rotation</t>
  </si>
  <si>
    <t>Dual N-Back</t>
  </si>
  <si>
    <t>Accuracy</t>
  </si>
  <si>
    <t>Corsi Blocks</t>
  </si>
  <si>
    <t>Memory Span</t>
  </si>
  <si>
    <t>HW005</t>
  </si>
  <si>
    <t>Reading Test</t>
  </si>
  <si>
    <t>Kbit Matrices</t>
  </si>
  <si>
    <t>Total Score</t>
  </si>
  <si>
    <t>Ceiling</t>
  </si>
  <si>
    <t>Raw score</t>
  </si>
  <si>
    <t>HW006</t>
  </si>
  <si>
    <t>Total correct</t>
  </si>
  <si>
    <t>Block span</t>
  </si>
  <si>
    <t>HW007</t>
  </si>
  <si>
    <t>HW016</t>
  </si>
  <si>
    <t>HW008</t>
  </si>
  <si>
    <t>HW009</t>
  </si>
  <si>
    <t>HW011</t>
  </si>
  <si>
    <t>HW012</t>
  </si>
  <si>
    <t>HW013</t>
  </si>
  <si>
    <t>HW014</t>
  </si>
  <si>
    <t>HW015</t>
  </si>
  <si>
    <t>Average</t>
  </si>
  <si>
    <t>RT (correct only)</t>
  </si>
  <si>
    <t>Letter acc</t>
  </si>
  <si>
    <t>Spatial acc</t>
  </si>
  <si>
    <t>Combined acc</t>
  </si>
  <si>
    <t>Working memory capacity</t>
  </si>
  <si>
    <t>English vocab</t>
  </si>
  <si>
    <t>Spatial working memory</t>
  </si>
  <si>
    <t>Mental rotation</t>
  </si>
  <si>
    <t>HW017</t>
  </si>
  <si>
    <t>HW018</t>
  </si>
  <si>
    <t>HW019</t>
  </si>
  <si>
    <t>HW020</t>
  </si>
  <si>
    <t>HW021</t>
  </si>
  <si>
    <t>HW022</t>
  </si>
  <si>
    <t>Session</t>
  </si>
  <si>
    <t>online</t>
  </si>
  <si>
    <t>HW024</t>
  </si>
  <si>
    <t>HW025</t>
  </si>
  <si>
    <t>HW026</t>
  </si>
  <si>
    <t>HW004</t>
  </si>
  <si>
    <t>HW034</t>
  </si>
  <si>
    <t>HW028</t>
  </si>
  <si>
    <t>HW030</t>
  </si>
  <si>
    <t>HW031</t>
  </si>
  <si>
    <t>HW033</t>
  </si>
  <si>
    <t>Non-verbal intelligence</t>
  </si>
  <si>
    <t>HW032</t>
  </si>
  <si>
    <t>HW035</t>
  </si>
  <si>
    <t>Date</t>
  </si>
  <si>
    <t>Initials</t>
  </si>
  <si>
    <t>Column Labels</t>
  </si>
  <si>
    <t>Grand Total</t>
  </si>
  <si>
    <t>Row Labels</t>
  </si>
  <si>
    <t>Average of Combined acc</t>
  </si>
  <si>
    <t>Average of RT (correct only)</t>
  </si>
  <si>
    <t>AD</t>
  </si>
  <si>
    <t>CS</t>
  </si>
  <si>
    <t>SN</t>
  </si>
  <si>
    <t>DH</t>
  </si>
  <si>
    <t>FS</t>
  </si>
  <si>
    <t>SL</t>
  </si>
  <si>
    <t>CR</t>
  </si>
  <si>
    <t>AH</t>
  </si>
  <si>
    <t>ES</t>
  </si>
  <si>
    <t>CM</t>
  </si>
  <si>
    <t>EH</t>
  </si>
  <si>
    <t>LL</t>
  </si>
  <si>
    <t>RD</t>
  </si>
  <si>
    <t>JR</t>
  </si>
  <si>
    <t>PS</t>
  </si>
  <si>
    <t>RH</t>
  </si>
  <si>
    <t>IA</t>
  </si>
  <si>
    <t>V</t>
  </si>
  <si>
    <t>DA</t>
  </si>
  <si>
    <t>MB</t>
  </si>
  <si>
    <t>DM</t>
  </si>
  <si>
    <t>MW</t>
  </si>
  <si>
    <t>CO</t>
  </si>
  <si>
    <t>MF</t>
  </si>
  <si>
    <t>HC</t>
  </si>
  <si>
    <t>NB</t>
  </si>
  <si>
    <t>WD</t>
  </si>
  <si>
    <t>CE</t>
  </si>
  <si>
    <t>EM</t>
  </si>
  <si>
    <t>Not much change but the two poorest participants at S1 now performing like peers at S2</t>
  </si>
  <si>
    <t>Not a lot of change, around half have improved slightly.</t>
  </si>
  <si>
    <t>Sum of Memory Span</t>
  </si>
  <si>
    <t>(Not all lines visible as some scores identical at both sessions)</t>
  </si>
  <si>
    <t xml:space="preserve">Again not a lot of variation, some participants' improvements cancelled out by others poorer performance </t>
  </si>
  <si>
    <t>One participant who is very slow overall improved the most, but still by far slowest</t>
  </si>
  <si>
    <t>Sum of Accuracy2</t>
  </si>
  <si>
    <t>Sum of Raw score2</t>
  </si>
  <si>
    <t>Overall a slight improvement on average</t>
  </si>
  <si>
    <t>s</t>
  </si>
  <si>
    <t>For some there seems to be a speed-accuracy tradeoff whereby acc decreased at S2</t>
  </si>
  <si>
    <t>All participants a lot faster at S2 (excluding HW025, on average 720ms faster) than S1</t>
  </si>
  <si>
    <t>2018-Mar</t>
  </si>
  <si>
    <t>2019-Mar</t>
  </si>
  <si>
    <t>vs. n=19 rejected-at-interview-averages:</t>
  </si>
  <si>
    <t>session 2 averages:</t>
  </si>
  <si>
    <t>selected candidates 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</si>
</sst>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.5"/>
      <color rgb="FF212121"/>
      <name val="Segoe UI"/>
      <family val="2"/>
    </font>
    <font>
      <sz val="12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5" fillId="0" borderId="5" xfId="0" applyFont="1" applyBorder="1"/>
    <xf numFmtId="0" fontId="5" fillId="0" borderId="0" xfId="0" applyFont="1"/>
    <xf numFmtId="165" fontId="5" fillId="0" borderId="5" xfId="1" applyNumberFormat="1" applyFont="1" applyBorder="1"/>
    <xf numFmtId="0" fontId="2" fillId="0" borderId="1" xfId="0" applyFont="1" applyBorder="1"/>
    <xf numFmtId="0" fontId="0" fillId="0" borderId="8" xfId="0" applyBorder="1"/>
    <xf numFmtId="165" fontId="2" fillId="0" borderId="11" xfId="0" applyNumberFormat="1" applyFont="1" applyBorder="1"/>
    <xf numFmtId="1" fontId="2" fillId="0" borderId="11" xfId="0" applyNumberFormat="1" applyFont="1" applyBorder="1"/>
    <xf numFmtId="164" fontId="2" fillId="0" borderId="10" xfId="0" applyNumberFormat="1" applyFont="1" applyBorder="1"/>
    <xf numFmtId="0" fontId="2" fillId="0" borderId="9" xfId="0" applyFont="1" applyBorder="1"/>
    <xf numFmtId="165" fontId="5" fillId="0" borderId="0" xfId="1" applyNumberFormat="1" applyFont="1"/>
    <xf numFmtId="165" fontId="5" fillId="0" borderId="5" xfId="0" applyNumberFormat="1" applyFont="1" applyBorder="1"/>
    <xf numFmtId="1" fontId="5" fillId="0" borderId="5" xfId="0" applyNumberFormat="1" applyFont="1" applyBorder="1"/>
    <xf numFmtId="0" fontId="5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7" xfId="0" applyFont="1" applyBorder="1"/>
    <xf numFmtId="1" fontId="5" fillId="0" borderId="0" xfId="0" applyNumberFormat="1" applyFont="1"/>
    <xf numFmtId="0" fontId="5" fillId="0" borderId="4" xfId="0" applyFont="1" applyBorder="1"/>
    <xf numFmtId="0" fontId="0" fillId="0" borderId="0" xfId="0" pivotButton="1"/>
    <xf numFmtId="166" fontId="5" fillId="0" borderId="0" xfId="0" applyNumberFormat="1" applyFont="1"/>
    <xf numFmtId="17" fontId="5" fillId="0" borderId="0" xfId="0" applyNumberFormat="1" applyFont="1"/>
    <xf numFmtId="165" fontId="5" fillId="0" borderId="4" xfId="0" applyNumberFormat="1" applyFont="1" applyBorder="1"/>
    <xf numFmtId="1" fontId="5" fillId="0" borderId="0" xfId="1" applyNumberFormat="1" applyFont="1"/>
    <xf numFmtId="165" fontId="5" fillId="0" borderId="4" xfId="1" applyNumberFormat="1" applyFont="1" applyBorder="1"/>
    <xf numFmtId="1" fontId="5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5" fillId="0" borderId="3" xfId="0" applyFont="1" applyBorder="1"/>
    <xf numFmtId="1" fontId="5" fillId="0" borderId="5" xfId="1" applyNumberFormat="1" applyFont="1" applyBorder="1"/>
    <xf numFmtId="165" fontId="5" fillId="0" borderId="3" xfId="1" applyNumberFormat="1" applyFont="1" applyBorder="1"/>
    <xf numFmtId="0" fontId="5" fillId="0" borderId="0" xfId="0" applyFont="1" applyAlignment="1">
      <alignment horizontal="left"/>
    </xf>
    <xf numFmtId="17" fontId="5" fillId="0" borderId="0" xfId="0" applyNumberFormat="1" applyFont="1" applyAlignment="1">
      <alignment horizontal="right"/>
    </xf>
    <xf numFmtId="17" fontId="5" fillId="0" borderId="0" xfId="0" applyNumberFormat="1" applyFont="1" applyAlignment="1">
      <alignment horizontal="left"/>
    </xf>
    <xf numFmtId="0" fontId="5" fillId="0" borderId="0" xfId="0" applyFont="1" applyFill="1"/>
    <xf numFmtId="165" fontId="5" fillId="0" borderId="5" xfId="1" applyNumberFormat="1" applyFont="1" applyFill="1" applyBorder="1"/>
    <xf numFmtId="1" fontId="5" fillId="0" borderId="0" xfId="1" applyNumberFormat="1" applyFont="1" applyFill="1"/>
    <xf numFmtId="0" fontId="5" fillId="0" borderId="0" xfId="0" applyFont="1" applyFill="1" applyBorder="1"/>
    <xf numFmtId="165" fontId="5" fillId="0" borderId="0" xfId="1" applyNumberFormat="1" applyFont="1" applyFill="1" applyBorder="1"/>
    <xf numFmtId="0" fontId="5" fillId="0" borderId="4" xfId="0" applyFont="1" applyFill="1" applyBorder="1"/>
    <xf numFmtId="0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65" fontId="5" fillId="0" borderId="0" xfId="1" applyNumberFormat="1" applyFont="1" applyBorder="1"/>
    <xf numFmtId="1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1" fontId="5" fillId="0" borderId="0" xfId="0" applyNumberFormat="1" applyFont="1" applyBorder="1"/>
    <xf numFmtId="1" fontId="9" fillId="0" borderId="0" xfId="0" applyNumberFormat="1" applyFont="1" applyBorder="1" applyAlignment="1">
      <alignment vertical="center"/>
    </xf>
    <xf numFmtId="0" fontId="2" fillId="0" borderId="5" xfId="0" applyFont="1" applyBorder="1"/>
    <xf numFmtId="165" fontId="2" fillId="0" borderId="0" xfId="0" applyNumberFormat="1" applyFont="1" applyBorder="1"/>
    <xf numFmtId="165" fontId="2" fillId="0" borderId="5" xfId="0" applyNumberFormat="1" applyFont="1" applyBorder="1"/>
    <xf numFmtId="1" fontId="2" fillId="0" borderId="0" xfId="0" applyNumberFormat="1" applyFont="1" applyBorder="1"/>
    <xf numFmtId="164" fontId="2" fillId="0" borderId="0" xfId="0" applyNumberFormat="1" applyFont="1" applyBorder="1"/>
    <xf numFmtId="0" fontId="2" fillId="0" borderId="9" xfId="0" applyFont="1" applyBorder="1" applyAlignment="1">
      <alignment horizontal="right"/>
    </xf>
    <xf numFmtId="165" fontId="2" fillId="0" borderId="1" xfId="0" applyNumberFormat="1" applyFont="1" applyBorder="1"/>
    <xf numFmtId="165" fontId="2" fillId="0" borderId="7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2" xfId="0" applyNumberFormat="1" applyFont="1" applyBorder="1"/>
    <xf numFmtId="164" fontId="2" fillId="0" borderId="6" xfId="0" applyNumberFormat="1" applyFont="1" applyBorder="1"/>
    <xf numFmtId="164" fontId="2" fillId="0" borderId="8" xfId="0" applyNumberFormat="1" applyFont="1" applyBorder="1"/>
    <xf numFmtId="165" fontId="2" fillId="0" borderId="10" xfId="0" applyNumberFormat="1" applyFont="1" applyBorder="1"/>
    <xf numFmtId="0" fontId="5" fillId="0" borderId="12" xfId="0" applyFont="1" applyBorder="1"/>
    <xf numFmtId="166" fontId="5" fillId="0" borderId="10" xfId="0" applyNumberFormat="1" applyFont="1" applyBorder="1"/>
    <xf numFmtId="17" fontId="5" fillId="0" borderId="10" xfId="0" applyNumberFormat="1" applyFont="1" applyBorder="1"/>
    <xf numFmtId="17" fontId="5" fillId="0" borderId="9" xfId="0" applyNumberFormat="1" applyFont="1" applyBorder="1"/>
    <xf numFmtId="166" fontId="5" fillId="0" borderId="12" xfId="0" applyNumberFormat="1" applyFont="1" applyBorder="1"/>
  </cellXfs>
  <cellStyles count="2">
    <cellStyle name="Normal" xfId="0" builtinId="0"/>
    <cellStyle name="Percent" xfId="1" builtinId="5"/>
  </cellStyles>
  <dxfs count="4"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[2019-04-03 Interpreter_Aptitude_Heriot-Watt_Pilot_Data.xlsx]NBack!PivotTable1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NBack!$B$3:$B$4</c:f>
              <c:strCache>
                <c:ptCount val="1"/>
                <c:pt idx="0">
                  <c:v>HW001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NBack!$A$5:$A$7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NBack!$B$5:$B$7</c:f>
              <c:numCache>
                <c:formatCode>0.00</c:formatCode>
                <c:ptCount val="2"/>
                <c:pt idx="0">
                  <c:v>0.72219999999999995</c:v>
                </c:pt>
                <c:pt idx="1">
                  <c:v>0.73015873015873012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7-4FEE-B5A7-8146D7BADC05}"/>
            </c:ext>
          </c:extLst>
        </c:ser>
        <c:ser>
          <c:idx val="1"/>
          <c:order val="1"/>
          <c:tx>
            <c:strRef>
              <c:f>NBack!$C$3:$C$4</c:f>
              <c:strCache>
                <c:ptCount val="1"/>
                <c:pt idx="0">
                  <c:v>HW005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NBack!$A$5:$A$7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NBack!$C$5:$C$7</c:f>
              <c:numCache>
                <c:formatCode>0.00</c:formatCode>
                <c:ptCount val="2"/>
                <c:pt idx="0">
                  <c:v>0.73799999999999999</c:v>
                </c:pt>
                <c:pt idx="1">
                  <c:v>0.68253968253968256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7-4FEE-B5A7-8146D7BADC05}"/>
            </c:ext>
          </c:extLst>
        </c:ser>
        <c:ser>
          <c:idx val="2"/>
          <c:order val="2"/>
          <c:tx>
            <c:strRef>
              <c:f>NBack!$D$3:$D$4</c:f>
              <c:strCache>
                <c:ptCount val="1"/>
                <c:pt idx="0">
                  <c:v>HW006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NBack!$A$5:$A$7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NBack!$D$5:$D$7</c:f>
              <c:numCache>
                <c:formatCode>0.00</c:formatCode>
                <c:ptCount val="2"/>
                <c:pt idx="0">
                  <c:v>0.70599999999999996</c:v>
                </c:pt>
                <c:pt idx="1">
                  <c:v>0.73809523809523814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7-4FEE-B5A7-8146D7BADC05}"/>
            </c:ext>
          </c:extLst>
        </c:ser>
        <c:ser>
          <c:idx val="3"/>
          <c:order val="3"/>
          <c:tx>
            <c:strRef>
              <c:f>NBack!$E$3:$E$4</c:f>
              <c:strCache>
                <c:ptCount val="1"/>
                <c:pt idx="0">
                  <c:v>HW007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NBack!$A$5:$A$7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NBack!$E$5:$E$7</c:f>
              <c:numCache>
                <c:formatCode>0.00</c:formatCode>
                <c:ptCount val="2"/>
                <c:pt idx="0">
                  <c:v>0.72225000000000006</c:v>
                </c:pt>
                <c:pt idx="1">
                  <c:v>0.76984126984126977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7-4FEE-B5A7-8146D7BADC05}"/>
            </c:ext>
          </c:extLst>
        </c:ser>
        <c:ser>
          <c:idx val="4"/>
          <c:order val="4"/>
          <c:tx>
            <c:strRef>
              <c:f>NBack!$F$3:$F$4</c:f>
              <c:strCache>
                <c:ptCount val="1"/>
                <c:pt idx="0">
                  <c:v>HW008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NBack!$A$5:$A$7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NBack!$F$5:$F$7</c:f>
              <c:numCache>
                <c:formatCode>0.00</c:formatCode>
                <c:ptCount val="2"/>
                <c:pt idx="0">
                  <c:v>0.73799999999999999</c:v>
                </c:pt>
                <c:pt idx="1">
                  <c:v>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77-4FEE-B5A7-8146D7BADC05}"/>
            </c:ext>
          </c:extLst>
        </c:ser>
        <c:ser>
          <c:idx val="5"/>
          <c:order val="5"/>
          <c:tx>
            <c:strRef>
              <c:f>NBack!$G$3:$G$4</c:f>
              <c:strCache>
                <c:ptCount val="1"/>
                <c:pt idx="0">
                  <c:v>HW013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NBack!$A$5:$A$7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NBack!$G$5:$G$7</c:f>
              <c:numCache>
                <c:formatCode>0.00</c:formatCode>
                <c:ptCount val="2"/>
                <c:pt idx="0">
                  <c:v>0.69850000000000001</c:v>
                </c:pt>
                <c:pt idx="1">
                  <c:v>0.69047619047619047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77-4FEE-B5A7-8146D7BADC05}"/>
            </c:ext>
          </c:extLst>
        </c:ser>
        <c:ser>
          <c:idx val="6"/>
          <c:order val="6"/>
          <c:tx>
            <c:strRef>
              <c:f>NBack!$H$3:$H$4</c:f>
              <c:strCache>
                <c:ptCount val="1"/>
                <c:pt idx="0">
                  <c:v>HW015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NBack!$A$5:$A$7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NBack!$H$5:$H$7</c:f>
              <c:numCache>
                <c:formatCode>0.00</c:formatCode>
                <c:ptCount val="2"/>
                <c:pt idx="0">
                  <c:v>0.71399999999999997</c:v>
                </c:pt>
                <c:pt idx="1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77-4FEE-B5A7-8146D7BADC05}"/>
            </c:ext>
          </c:extLst>
        </c:ser>
        <c:ser>
          <c:idx val="7"/>
          <c:order val="7"/>
          <c:tx>
            <c:strRef>
              <c:f>NBack!$I$3:$I$4</c:f>
              <c:strCache>
                <c:ptCount val="1"/>
                <c:pt idx="0">
                  <c:v>HW020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NBack!$A$5:$A$7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NBack!$I$5:$I$7</c:f>
              <c:numCache>
                <c:formatCode>0.00</c:formatCode>
                <c:ptCount val="2"/>
                <c:pt idx="0">
                  <c:v>0.66649999999999998</c:v>
                </c:pt>
                <c:pt idx="1">
                  <c:v>0.72222222222222221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77-4FEE-B5A7-8146D7BADC05}"/>
            </c:ext>
          </c:extLst>
        </c:ser>
        <c:ser>
          <c:idx val="8"/>
          <c:order val="8"/>
          <c:tx>
            <c:strRef>
              <c:f>NBack!$J$3:$J$4</c:f>
              <c:strCache>
                <c:ptCount val="1"/>
                <c:pt idx="0">
                  <c:v>HW025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NBack!$A$5:$A$7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NBack!$J$5:$J$7</c:f>
              <c:numCache>
                <c:formatCode>0.00</c:formatCode>
                <c:ptCount val="2"/>
                <c:pt idx="0">
                  <c:v>0.76190000000000002</c:v>
                </c:pt>
                <c:pt idx="1">
                  <c:v>0.69047619047619047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77-4FEE-B5A7-8146D7BADC05}"/>
            </c:ext>
          </c:extLst>
        </c:ser>
        <c:ser>
          <c:idx val="9"/>
          <c:order val="9"/>
          <c:tx>
            <c:strRef>
              <c:f>NBack!$K$3:$K$4</c:f>
              <c:strCache>
                <c:ptCount val="1"/>
                <c:pt idx="0">
                  <c:v>HW026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NBack!$A$5:$A$7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NBack!$K$5:$K$7</c:f>
              <c:numCache>
                <c:formatCode>0.00</c:formatCode>
                <c:ptCount val="2"/>
                <c:pt idx="0">
                  <c:v>0.62697999999999998</c:v>
                </c:pt>
                <c:pt idx="1">
                  <c:v>0.69841269841269837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77-4FEE-B5A7-8146D7BADC05}"/>
            </c:ext>
          </c:extLst>
        </c:ser>
        <c:ser>
          <c:idx val="10"/>
          <c:order val="10"/>
          <c:tx>
            <c:strRef>
              <c:f>NBack!$L$3:$L$4</c:f>
              <c:strCache>
                <c:ptCount val="1"/>
                <c:pt idx="0">
                  <c:v>HW028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NBack!$A$5:$A$7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NBack!$L$5:$L$7</c:f>
              <c:numCache>
                <c:formatCode>0.00</c:formatCode>
                <c:ptCount val="2"/>
                <c:pt idx="0">
                  <c:v>0.76184999999999992</c:v>
                </c:pt>
                <c:pt idx="1">
                  <c:v>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77-4FEE-B5A7-8146D7BA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58880"/>
        <c:axId val="288165272"/>
      </c:lineChart>
      <c:catAx>
        <c:axId val="3726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65272"/>
        <c:crosses val="autoZero"/>
        <c:auto val="1"/>
        <c:lblAlgn val="ctr"/>
        <c:lblOffset val="100"/>
        <c:noMultiLvlLbl val="0"/>
      </c:catAx>
      <c:valAx>
        <c:axId val="2881652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[2019-04-03 Interpreter_Aptitude_Heriot-Watt_Pilot_Data.xlsx]Rotation!PivotTable2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Rotation!$B$3:$B$4</c:f>
              <c:strCache>
                <c:ptCount val="1"/>
                <c:pt idx="0">
                  <c:v>HW001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Rotation!$B$5:$B$7</c:f>
              <c:numCache>
                <c:formatCode>0</c:formatCode>
                <c:ptCount val="2"/>
                <c:pt idx="0">
                  <c:v>4052</c:v>
                </c:pt>
                <c:pt idx="1">
                  <c:v>3193.1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2-4144-82DF-92B63E881E0D}"/>
            </c:ext>
          </c:extLst>
        </c:ser>
        <c:ser>
          <c:idx val="1"/>
          <c:order val="1"/>
          <c:tx>
            <c:strRef>
              <c:f>Rotation!$C$3:$C$4</c:f>
              <c:strCache>
                <c:ptCount val="1"/>
                <c:pt idx="0">
                  <c:v>HW005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Rotation!$C$5:$C$7</c:f>
              <c:numCache>
                <c:formatCode>0</c:formatCode>
                <c:ptCount val="2"/>
                <c:pt idx="0">
                  <c:v>2580</c:v>
                </c:pt>
                <c:pt idx="1">
                  <c:v>2036.2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2-4144-82DF-92B63E881E0D}"/>
            </c:ext>
          </c:extLst>
        </c:ser>
        <c:ser>
          <c:idx val="2"/>
          <c:order val="2"/>
          <c:tx>
            <c:strRef>
              <c:f>Rotation!$D$3:$D$4</c:f>
              <c:strCache>
                <c:ptCount val="1"/>
                <c:pt idx="0">
                  <c:v>HW006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Rotation!$D$5:$D$7</c:f>
              <c:numCache>
                <c:formatCode>0</c:formatCode>
                <c:ptCount val="2"/>
                <c:pt idx="0">
                  <c:v>3752</c:v>
                </c:pt>
                <c:pt idx="1">
                  <c:v>2807.5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2-4144-82DF-92B63E881E0D}"/>
            </c:ext>
          </c:extLst>
        </c:ser>
        <c:ser>
          <c:idx val="3"/>
          <c:order val="3"/>
          <c:tx>
            <c:strRef>
              <c:f>Rotation!$E$3:$E$4</c:f>
              <c:strCache>
                <c:ptCount val="1"/>
                <c:pt idx="0">
                  <c:v>HW007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Rotation!$E$5:$E$7</c:f>
              <c:numCache>
                <c:formatCode>0</c:formatCode>
                <c:ptCount val="2"/>
                <c:pt idx="0">
                  <c:v>2965</c:v>
                </c:pt>
                <c:pt idx="1">
                  <c:v>2004.3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2-4144-82DF-92B63E881E0D}"/>
            </c:ext>
          </c:extLst>
        </c:ser>
        <c:ser>
          <c:idx val="4"/>
          <c:order val="4"/>
          <c:tx>
            <c:strRef>
              <c:f>Rotation!$F$3:$F$4</c:f>
              <c:strCache>
                <c:ptCount val="1"/>
                <c:pt idx="0">
                  <c:v>HW008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Rotation!$F$5:$F$7</c:f>
              <c:numCache>
                <c:formatCode>0</c:formatCode>
                <c:ptCount val="2"/>
                <c:pt idx="0">
                  <c:v>2507</c:v>
                </c:pt>
                <c:pt idx="1">
                  <c:v>2350.8000000000002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42-4144-82DF-92B63E881E0D}"/>
            </c:ext>
          </c:extLst>
        </c:ser>
        <c:ser>
          <c:idx val="5"/>
          <c:order val="5"/>
          <c:tx>
            <c:strRef>
              <c:f>Rotation!$G$3:$G$4</c:f>
              <c:strCache>
                <c:ptCount val="1"/>
                <c:pt idx="0">
                  <c:v>HW013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Rotation!$G$5:$G$7</c:f>
              <c:numCache>
                <c:formatCode>0</c:formatCode>
                <c:ptCount val="2"/>
                <c:pt idx="0">
                  <c:v>3057</c:v>
                </c:pt>
                <c:pt idx="1">
                  <c:v>2122.1999999999998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42-4144-82DF-92B63E881E0D}"/>
            </c:ext>
          </c:extLst>
        </c:ser>
        <c:ser>
          <c:idx val="6"/>
          <c:order val="6"/>
          <c:tx>
            <c:strRef>
              <c:f>Rotation!$H$3:$H$4</c:f>
              <c:strCache>
                <c:ptCount val="1"/>
                <c:pt idx="0">
                  <c:v>HW015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Rotation!$A$5:$A$7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Rotation!$H$5:$H$7</c:f>
              <c:numCache>
                <c:formatCode>0</c:formatCode>
                <c:ptCount val="2"/>
                <c:pt idx="0">
                  <c:v>2376</c:v>
                </c:pt>
                <c:pt idx="1">
                  <c:v>1588.93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42-4144-82DF-92B63E881E0D}"/>
            </c:ext>
          </c:extLst>
        </c:ser>
        <c:ser>
          <c:idx val="7"/>
          <c:order val="7"/>
          <c:tx>
            <c:strRef>
              <c:f>Rotation!$I$3:$I$4</c:f>
              <c:strCache>
                <c:ptCount val="1"/>
                <c:pt idx="0">
                  <c:v>HW020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Rotation!$A$5:$A$7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Rotation!$I$5:$I$7</c:f>
              <c:numCache>
                <c:formatCode>0</c:formatCode>
                <c:ptCount val="2"/>
                <c:pt idx="0">
                  <c:v>1933.9</c:v>
                </c:pt>
                <c:pt idx="1">
                  <c:v>1577.67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42-4144-82DF-92B63E881E0D}"/>
            </c:ext>
          </c:extLst>
        </c:ser>
        <c:ser>
          <c:idx val="8"/>
          <c:order val="8"/>
          <c:tx>
            <c:strRef>
              <c:f>Rotation!$J$3:$J$4</c:f>
              <c:strCache>
                <c:ptCount val="1"/>
                <c:pt idx="0">
                  <c:v>HW025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Rotation!$A$5:$A$7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Rotation!$J$5:$J$7</c:f>
              <c:numCache>
                <c:formatCode>0</c:formatCode>
                <c:ptCount val="2"/>
                <c:pt idx="0">
                  <c:v>8255.6200000000008</c:v>
                </c:pt>
                <c:pt idx="1">
                  <c:v>5287.95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42-4144-82DF-92B63E881E0D}"/>
            </c:ext>
          </c:extLst>
        </c:ser>
        <c:ser>
          <c:idx val="9"/>
          <c:order val="9"/>
          <c:tx>
            <c:strRef>
              <c:f>Rotation!$K$3:$K$4</c:f>
              <c:strCache>
                <c:ptCount val="1"/>
                <c:pt idx="0">
                  <c:v>HW026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Rotation!$A$5:$A$7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Rotation!$K$5:$K$7</c:f>
              <c:numCache>
                <c:formatCode>0</c:formatCode>
                <c:ptCount val="2"/>
                <c:pt idx="0">
                  <c:v>2430.1799999999998</c:v>
                </c:pt>
                <c:pt idx="1">
                  <c:v>1920.85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42-4144-82DF-92B63E881E0D}"/>
            </c:ext>
          </c:extLst>
        </c:ser>
        <c:ser>
          <c:idx val="10"/>
          <c:order val="10"/>
          <c:tx>
            <c:strRef>
              <c:f>Rotation!$L$3:$L$4</c:f>
              <c:strCache>
                <c:ptCount val="1"/>
                <c:pt idx="0">
                  <c:v>HW028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Rotation!$A$5:$A$7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Rotation!$L$5:$L$7</c:f>
              <c:numCache>
                <c:formatCode>0</c:formatCode>
                <c:ptCount val="2"/>
                <c:pt idx="0">
                  <c:v>3695.9</c:v>
                </c:pt>
                <c:pt idx="1">
                  <c:v>2527.6999999999998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42-4144-82DF-92B63E88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311488"/>
        <c:axId val="373313128"/>
      </c:lineChart>
      <c:catAx>
        <c:axId val="3733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13128"/>
        <c:crosses val="autoZero"/>
        <c:auto val="1"/>
        <c:lblAlgn val="ctr"/>
        <c:lblOffset val="100"/>
        <c:noMultiLvlLbl val="0"/>
      </c:catAx>
      <c:valAx>
        <c:axId val="373313128"/>
        <c:scaling>
          <c:orientation val="minMax"/>
          <c:max val="8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[2019-04-03 Interpreter_Aptitude_Heriot-Watt_Pilot_Data.xlsx]Corsi!PivotTable3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Corsi!$B$3:$B$4</c:f>
              <c:strCache>
                <c:ptCount val="1"/>
                <c:pt idx="0">
                  <c:v>HW001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Corsi!$A$5:$A$7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Corsi!$B$5:$B$7</c:f>
              <c:numCache>
                <c:formatCode>General</c:formatCode>
                <c:ptCount val="2"/>
                <c:pt idx="0">
                  <c:v>4.5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F-4A4E-9911-AA56622EC671}"/>
            </c:ext>
          </c:extLst>
        </c:ser>
        <c:ser>
          <c:idx val="1"/>
          <c:order val="1"/>
          <c:tx>
            <c:strRef>
              <c:f>Corsi!$C$3:$C$4</c:f>
              <c:strCache>
                <c:ptCount val="1"/>
                <c:pt idx="0">
                  <c:v>HW005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Corsi!$A$5:$A$7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Corsi!$C$5:$C$7</c:f>
              <c:numCache>
                <c:formatCode>General</c:formatCode>
                <c:ptCount val="2"/>
                <c:pt idx="0">
                  <c:v>6.5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F-4A4E-9911-AA56622EC671}"/>
            </c:ext>
          </c:extLst>
        </c:ser>
        <c:ser>
          <c:idx val="2"/>
          <c:order val="2"/>
          <c:tx>
            <c:strRef>
              <c:f>Corsi!$D$3:$D$4</c:f>
              <c:strCache>
                <c:ptCount val="1"/>
                <c:pt idx="0">
                  <c:v>HW006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Corsi!$A$5:$A$7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Corsi!$D$5:$D$7</c:f>
              <c:numCache>
                <c:formatCode>General</c:formatCode>
                <c:ptCount val="2"/>
                <c:pt idx="0">
                  <c:v>5.5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F-4A4E-9911-AA56622EC671}"/>
            </c:ext>
          </c:extLst>
        </c:ser>
        <c:ser>
          <c:idx val="3"/>
          <c:order val="3"/>
          <c:tx>
            <c:strRef>
              <c:f>Corsi!$E$3:$E$4</c:f>
              <c:strCache>
                <c:ptCount val="1"/>
                <c:pt idx="0">
                  <c:v>HW007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Corsi!$A$5:$A$7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Corsi!$E$5:$E$7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F-4A4E-9911-AA56622EC671}"/>
            </c:ext>
          </c:extLst>
        </c:ser>
        <c:ser>
          <c:idx val="4"/>
          <c:order val="4"/>
          <c:tx>
            <c:strRef>
              <c:f>Corsi!$F$3:$F$4</c:f>
              <c:strCache>
                <c:ptCount val="1"/>
                <c:pt idx="0">
                  <c:v>HW008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Corsi!$A$5:$A$7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Corsi!$F$5:$F$7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F-4A4E-9911-AA56622EC671}"/>
            </c:ext>
          </c:extLst>
        </c:ser>
        <c:ser>
          <c:idx val="5"/>
          <c:order val="5"/>
          <c:tx>
            <c:strRef>
              <c:f>Corsi!$G$3:$G$4</c:f>
              <c:strCache>
                <c:ptCount val="1"/>
                <c:pt idx="0">
                  <c:v>HW013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Corsi!$A$5:$A$7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Corsi!$G$5:$G$7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F-4A4E-9911-AA56622EC671}"/>
            </c:ext>
          </c:extLst>
        </c:ser>
        <c:ser>
          <c:idx val="6"/>
          <c:order val="6"/>
          <c:tx>
            <c:strRef>
              <c:f>Corsi!$H$3:$H$4</c:f>
              <c:strCache>
                <c:ptCount val="1"/>
                <c:pt idx="0">
                  <c:v>HW015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Corsi!$A$5:$A$7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Corsi!$H$5:$H$7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2F-4A4E-9911-AA56622EC671}"/>
            </c:ext>
          </c:extLst>
        </c:ser>
        <c:ser>
          <c:idx val="7"/>
          <c:order val="7"/>
          <c:tx>
            <c:strRef>
              <c:f>Corsi!$I$3:$I$4</c:f>
              <c:strCache>
                <c:ptCount val="1"/>
                <c:pt idx="0">
                  <c:v>HW020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Corsi!$A$5:$A$7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Corsi!$I$5:$I$7</c:f>
              <c:numCache>
                <c:formatCode>General</c:formatCode>
                <c:ptCount val="2"/>
                <c:pt idx="0">
                  <c:v>5.5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2F-4A4E-9911-AA56622EC671}"/>
            </c:ext>
          </c:extLst>
        </c:ser>
        <c:ser>
          <c:idx val="8"/>
          <c:order val="8"/>
          <c:tx>
            <c:strRef>
              <c:f>Corsi!$J$3:$J$4</c:f>
              <c:strCache>
                <c:ptCount val="1"/>
                <c:pt idx="0">
                  <c:v>HW025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Corsi!$A$5:$A$7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Corsi!$J$5:$J$7</c:f>
              <c:numCache>
                <c:formatCode>General</c:formatCode>
                <c:ptCount val="2"/>
                <c:pt idx="0">
                  <c:v>5.5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2F-4A4E-9911-AA56622EC671}"/>
            </c:ext>
          </c:extLst>
        </c:ser>
        <c:ser>
          <c:idx val="9"/>
          <c:order val="9"/>
          <c:tx>
            <c:strRef>
              <c:f>Corsi!$K$3:$K$4</c:f>
              <c:strCache>
                <c:ptCount val="1"/>
                <c:pt idx="0">
                  <c:v>HW026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Corsi!$A$5:$A$7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Corsi!$K$5:$K$7</c:f>
              <c:numCache>
                <c:formatCode>General</c:formatCode>
                <c:ptCount val="2"/>
                <c:pt idx="0">
                  <c:v>5</c:v>
                </c:pt>
                <c:pt idx="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2F-4A4E-9911-AA56622EC671}"/>
            </c:ext>
          </c:extLst>
        </c:ser>
        <c:ser>
          <c:idx val="10"/>
          <c:order val="10"/>
          <c:tx>
            <c:strRef>
              <c:f>Corsi!$L$3:$L$4</c:f>
              <c:strCache>
                <c:ptCount val="1"/>
                <c:pt idx="0">
                  <c:v>HW028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Corsi!$A$5:$A$7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Corsi!$L$5:$L$7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2F-4A4E-9911-AA56622E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37560"/>
        <c:axId val="378439200"/>
      </c:lineChart>
      <c:catAx>
        <c:axId val="3784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39200"/>
        <c:crosses val="autoZero"/>
        <c:auto val="1"/>
        <c:lblAlgn val="ctr"/>
        <c:lblOffset val="100"/>
        <c:noMultiLvlLbl val="0"/>
      </c:catAx>
      <c:valAx>
        <c:axId val="37843920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3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[2019-04-03 Interpreter_Aptitude_Heriot-Watt_Pilot_Data.xlsx]Reading!PivotTable1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Reading!$B$3:$B$4</c:f>
              <c:strCache>
                <c:ptCount val="1"/>
                <c:pt idx="0">
                  <c:v>HW001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Reading!$A$5:$A$7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Reading!$B$5:$B$7</c:f>
              <c:numCache>
                <c:formatCode>0.00</c:formatCode>
                <c:ptCount val="2"/>
                <c:pt idx="0">
                  <c:v>0.78947368421052633</c:v>
                </c:pt>
                <c:pt idx="1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A-48B0-B332-E73924B6E55C}"/>
            </c:ext>
          </c:extLst>
        </c:ser>
        <c:ser>
          <c:idx val="1"/>
          <c:order val="1"/>
          <c:tx>
            <c:strRef>
              <c:f>Reading!$C$3:$C$4</c:f>
              <c:strCache>
                <c:ptCount val="1"/>
                <c:pt idx="0">
                  <c:v>HW005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Reading!$A$5:$A$7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Reading!$C$5:$C$7</c:f>
              <c:numCache>
                <c:formatCode>0.00</c:formatCode>
                <c:ptCount val="2"/>
                <c:pt idx="0">
                  <c:v>0.97435897435897434</c:v>
                </c:pt>
                <c:pt idx="1">
                  <c:v>0.80952380952380953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A-48B0-B332-E73924B6E55C}"/>
            </c:ext>
          </c:extLst>
        </c:ser>
        <c:ser>
          <c:idx val="2"/>
          <c:order val="2"/>
          <c:tx>
            <c:strRef>
              <c:f>Reading!$D$3:$D$4</c:f>
              <c:strCache>
                <c:ptCount val="1"/>
                <c:pt idx="0">
                  <c:v>HW006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Reading!$A$5:$A$7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Reading!$D$5:$D$7</c:f>
              <c:numCache>
                <c:formatCode>0.00</c:formatCode>
                <c:ptCount val="2"/>
                <c:pt idx="0">
                  <c:v>0.90909090909090906</c:v>
                </c:pt>
                <c:pt idx="1">
                  <c:v>0.74358974358974361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A-48B0-B332-E73924B6E55C}"/>
            </c:ext>
          </c:extLst>
        </c:ser>
        <c:ser>
          <c:idx val="3"/>
          <c:order val="3"/>
          <c:tx>
            <c:strRef>
              <c:f>Reading!$E$3:$E$4</c:f>
              <c:strCache>
                <c:ptCount val="1"/>
                <c:pt idx="0">
                  <c:v>HW007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Reading!$A$5:$A$7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Reading!$E$5:$E$7</c:f>
              <c:numCache>
                <c:formatCode>0.00</c:formatCode>
                <c:ptCount val="2"/>
                <c:pt idx="0">
                  <c:v>0.75</c:v>
                </c:pt>
                <c:pt idx="1">
                  <c:v>0.73684210526315785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A-48B0-B332-E73924B6E55C}"/>
            </c:ext>
          </c:extLst>
        </c:ser>
        <c:ser>
          <c:idx val="4"/>
          <c:order val="4"/>
          <c:tx>
            <c:strRef>
              <c:f>Reading!$F$3:$F$4</c:f>
              <c:strCache>
                <c:ptCount val="1"/>
                <c:pt idx="0">
                  <c:v>HW008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Reading!$A$5:$A$7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Reading!$F$5:$F$7</c:f>
              <c:numCache>
                <c:formatCode>0.00</c:formatCode>
                <c:ptCount val="2"/>
                <c:pt idx="0">
                  <c:v>0.86842105263157898</c:v>
                </c:pt>
                <c:pt idx="1">
                  <c:v>0.78947368421052633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A-48B0-B332-E73924B6E55C}"/>
            </c:ext>
          </c:extLst>
        </c:ser>
        <c:ser>
          <c:idx val="5"/>
          <c:order val="5"/>
          <c:tx>
            <c:strRef>
              <c:f>Reading!$G$3:$G$4</c:f>
              <c:strCache>
                <c:ptCount val="1"/>
                <c:pt idx="0">
                  <c:v>HW013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Reading!$A$5:$A$7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Reading!$G$5:$G$7</c:f>
              <c:numCache>
                <c:formatCode>0.00</c:formatCode>
                <c:ptCount val="2"/>
                <c:pt idx="0">
                  <c:v>0.73809523809523814</c:v>
                </c:pt>
                <c:pt idx="1">
                  <c:v>0.69047619047619047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A-48B0-B332-E73924B6E55C}"/>
            </c:ext>
          </c:extLst>
        </c:ser>
        <c:ser>
          <c:idx val="6"/>
          <c:order val="6"/>
          <c:tx>
            <c:strRef>
              <c:f>Reading!$H$3:$H$4</c:f>
              <c:strCache>
                <c:ptCount val="1"/>
                <c:pt idx="0">
                  <c:v>HW015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Reading!$A$5:$A$7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Reading!$H$5:$H$7</c:f>
              <c:numCache>
                <c:formatCode>0.00</c:formatCode>
                <c:ptCount val="2"/>
                <c:pt idx="0">
                  <c:v>0.73809523809523814</c:v>
                </c:pt>
                <c:pt idx="1">
                  <c:v>0.80952380952380953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0A-48B0-B332-E73924B6E55C}"/>
            </c:ext>
          </c:extLst>
        </c:ser>
        <c:ser>
          <c:idx val="7"/>
          <c:order val="7"/>
          <c:tx>
            <c:strRef>
              <c:f>Reading!$I$3:$I$4</c:f>
              <c:strCache>
                <c:ptCount val="1"/>
                <c:pt idx="0">
                  <c:v>HW020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Reading!$A$5:$A$7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Reading!$I$5:$I$7</c:f>
              <c:numCache>
                <c:formatCode>0.00</c:formatCode>
                <c:ptCount val="2"/>
                <c:pt idx="0">
                  <c:v>0.7142857142857143</c:v>
                </c:pt>
                <c:pt idx="1">
                  <c:v>0.7857142857142857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0A-48B0-B332-E73924B6E55C}"/>
            </c:ext>
          </c:extLst>
        </c:ser>
        <c:ser>
          <c:idx val="8"/>
          <c:order val="8"/>
          <c:tx>
            <c:strRef>
              <c:f>Reading!$J$3:$J$4</c:f>
              <c:strCache>
                <c:ptCount val="1"/>
                <c:pt idx="0">
                  <c:v>HW025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Reading!$A$5:$A$7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Reading!$J$5:$J$7</c:f>
              <c:numCache>
                <c:formatCode>0.00</c:formatCode>
                <c:ptCount val="2"/>
                <c:pt idx="0">
                  <c:v>0.87096774193548387</c:v>
                </c:pt>
                <c:pt idx="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0A-48B0-B332-E73924B6E55C}"/>
            </c:ext>
          </c:extLst>
        </c:ser>
        <c:ser>
          <c:idx val="9"/>
          <c:order val="9"/>
          <c:tx>
            <c:strRef>
              <c:f>Reading!$K$3:$K$4</c:f>
              <c:strCache>
                <c:ptCount val="1"/>
                <c:pt idx="0">
                  <c:v>HW026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Reading!$A$5:$A$7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Reading!$K$5:$K$7</c:f>
              <c:numCache>
                <c:formatCode>0.00</c:formatCode>
                <c:ptCount val="2"/>
                <c:pt idx="0">
                  <c:v>0.66666666666666663</c:v>
                </c:pt>
                <c:pt idx="1">
                  <c:v>0.73809523809523814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0A-48B0-B332-E73924B6E55C}"/>
            </c:ext>
          </c:extLst>
        </c:ser>
        <c:ser>
          <c:idx val="10"/>
          <c:order val="10"/>
          <c:tx>
            <c:strRef>
              <c:f>Reading!$L$3:$L$4</c:f>
              <c:strCache>
                <c:ptCount val="1"/>
                <c:pt idx="0">
                  <c:v>HW028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Reading!$A$5:$A$7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Reading!$L$5:$L$7</c:f>
              <c:numCache>
                <c:formatCode>0.00</c:formatCode>
                <c:ptCount val="2"/>
                <c:pt idx="0">
                  <c:v>0.81578947368421051</c:v>
                </c:pt>
                <c:pt idx="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0A-48B0-B332-E73924B6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44968"/>
        <c:axId val="273647264"/>
      </c:lineChart>
      <c:catAx>
        <c:axId val="27364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47264"/>
        <c:crosses val="autoZero"/>
        <c:auto val="1"/>
        <c:lblAlgn val="ctr"/>
        <c:lblOffset val="100"/>
        <c:noMultiLvlLbl val="0"/>
      </c:catAx>
      <c:valAx>
        <c:axId val="27364726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4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[2019-04-03 Interpreter_Aptitude_Heriot-Watt_Pilot_Data.xlsx]Matrices!PivotTable2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Matrices!$B$3:$B$4</c:f>
              <c:strCache>
                <c:ptCount val="1"/>
                <c:pt idx="0">
                  <c:v>HW001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Matrices!$B$5:$B$7</c:f>
              <c:numCache>
                <c:formatCode>0.00</c:formatCode>
                <c:ptCount val="2"/>
                <c:pt idx="0">
                  <c:v>33</c:v>
                </c:pt>
                <c:pt idx="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6-47D1-B648-BAC9F735B031}"/>
            </c:ext>
          </c:extLst>
        </c:ser>
        <c:ser>
          <c:idx val="1"/>
          <c:order val="1"/>
          <c:tx>
            <c:strRef>
              <c:f>Matrices!$C$3:$C$4</c:f>
              <c:strCache>
                <c:ptCount val="1"/>
                <c:pt idx="0">
                  <c:v>HW005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Matrices!$C$5:$C$7</c:f>
              <c:numCache>
                <c:formatCode>0.00</c:formatCode>
                <c:ptCount val="2"/>
                <c:pt idx="0">
                  <c:v>42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6-47D1-B648-BAC9F735B031}"/>
            </c:ext>
          </c:extLst>
        </c:ser>
        <c:ser>
          <c:idx val="2"/>
          <c:order val="2"/>
          <c:tx>
            <c:strRef>
              <c:f>Matrices!$D$3:$D$4</c:f>
              <c:strCache>
                <c:ptCount val="1"/>
                <c:pt idx="0">
                  <c:v>HW006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Matrices!$D$5:$D$7</c:f>
              <c:numCache>
                <c:formatCode>0.00</c:formatCode>
                <c:ptCount val="2"/>
                <c:pt idx="0">
                  <c:v>40</c:v>
                </c:pt>
                <c:pt idx="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6-47D1-B648-BAC9F735B031}"/>
            </c:ext>
          </c:extLst>
        </c:ser>
        <c:ser>
          <c:idx val="3"/>
          <c:order val="3"/>
          <c:tx>
            <c:strRef>
              <c:f>Matrices!$E$3:$E$4</c:f>
              <c:strCache>
                <c:ptCount val="1"/>
                <c:pt idx="0">
                  <c:v>HW007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Matrices!$E$5:$E$7</c:f>
              <c:numCache>
                <c:formatCode>0.00</c:formatCode>
                <c:ptCount val="2"/>
                <c:pt idx="0">
                  <c:v>39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6-47D1-B648-BAC9F735B031}"/>
            </c:ext>
          </c:extLst>
        </c:ser>
        <c:ser>
          <c:idx val="4"/>
          <c:order val="4"/>
          <c:tx>
            <c:strRef>
              <c:f>Matrices!$F$3:$F$4</c:f>
              <c:strCache>
                <c:ptCount val="1"/>
                <c:pt idx="0">
                  <c:v>HW008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Matrices!$F$5:$F$7</c:f>
              <c:numCache>
                <c:formatCode>0.00</c:formatCode>
                <c:ptCount val="2"/>
                <c:pt idx="0">
                  <c:v>45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6-47D1-B648-BAC9F735B031}"/>
            </c:ext>
          </c:extLst>
        </c:ser>
        <c:ser>
          <c:idx val="5"/>
          <c:order val="5"/>
          <c:tx>
            <c:strRef>
              <c:f>Matrices!$G$3:$G$4</c:f>
              <c:strCache>
                <c:ptCount val="1"/>
                <c:pt idx="0">
                  <c:v>HW013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Matrices!$G$5:$G$7</c:f>
              <c:numCache>
                <c:formatCode>0.00</c:formatCode>
                <c:ptCount val="2"/>
                <c:pt idx="0">
                  <c:v>39</c:v>
                </c:pt>
                <c:pt idx="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6-47D1-B648-BAC9F735B031}"/>
            </c:ext>
          </c:extLst>
        </c:ser>
        <c:ser>
          <c:idx val="6"/>
          <c:order val="6"/>
          <c:tx>
            <c:strRef>
              <c:f>Matrices!$H$3:$H$4</c:f>
              <c:strCache>
                <c:ptCount val="1"/>
                <c:pt idx="0">
                  <c:v>HW015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Matrices!$A$5:$A$7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Matrices!$H$5:$H$7</c:f>
              <c:numCache>
                <c:formatCode>0.00</c:formatCode>
                <c:ptCount val="2"/>
                <c:pt idx="0">
                  <c:v>40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06-47D1-B648-BAC9F735B031}"/>
            </c:ext>
          </c:extLst>
        </c:ser>
        <c:ser>
          <c:idx val="7"/>
          <c:order val="7"/>
          <c:tx>
            <c:strRef>
              <c:f>Matrices!$I$3:$I$4</c:f>
              <c:strCache>
                <c:ptCount val="1"/>
                <c:pt idx="0">
                  <c:v>HW020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Matrices!$A$5:$A$7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Matrices!$I$5:$I$7</c:f>
              <c:numCache>
                <c:formatCode>0.00</c:formatCode>
                <c:ptCount val="2"/>
                <c:pt idx="0">
                  <c:v>39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06-47D1-B648-BAC9F735B031}"/>
            </c:ext>
          </c:extLst>
        </c:ser>
        <c:ser>
          <c:idx val="8"/>
          <c:order val="8"/>
          <c:tx>
            <c:strRef>
              <c:f>Matrices!$J$3:$J$4</c:f>
              <c:strCache>
                <c:ptCount val="1"/>
                <c:pt idx="0">
                  <c:v>HW025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Matrices!$A$5:$A$7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Matrices!$J$5:$J$7</c:f>
              <c:numCache>
                <c:formatCode>0.00</c:formatCode>
                <c:ptCount val="2"/>
                <c:pt idx="0">
                  <c:v>37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06-47D1-B648-BAC9F735B031}"/>
            </c:ext>
          </c:extLst>
        </c:ser>
        <c:ser>
          <c:idx val="9"/>
          <c:order val="9"/>
          <c:tx>
            <c:strRef>
              <c:f>Matrices!$K$3:$K$4</c:f>
              <c:strCache>
                <c:ptCount val="1"/>
                <c:pt idx="0">
                  <c:v>HW026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Matrices!$A$5:$A$7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Matrices!$K$5:$K$7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06-47D1-B648-BAC9F735B031}"/>
            </c:ext>
          </c:extLst>
        </c:ser>
        <c:ser>
          <c:idx val="10"/>
          <c:order val="10"/>
          <c:tx>
            <c:strRef>
              <c:f>Matrices!$L$3:$L$4</c:f>
              <c:strCache>
                <c:ptCount val="1"/>
                <c:pt idx="0">
                  <c:v>HW028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Matrices!$A$5:$A$7</c:f>
              <c:strCache>
                <c:ptCount val="2"/>
                <c:pt idx="0">
                  <c:v>2018-Mar</c:v>
                </c:pt>
                <c:pt idx="1">
                  <c:v>2019-Mar</c:v>
                </c:pt>
              </c:strCache>
            </c:strRef>
          </c:cat>
          <c:val>
            <c:numRef>
              <c:f>Matrices!$L$5:$L$7</c:f>
              <c:numCache>
                <c:formatCode>0.00</c:formatCode>
                <c:ptCount val="2"/>
                <c:pt idx="0">
                  <c:v>41</c:v>
                </c:pt>
                <c:pt idx="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06-47D1-B648-BAC9F735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29088"/>
        <c:axId val="365529744"/>
      </c:lineChart>
      <c:catAx>
        <c:axId val="3655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29744"/>
        <c:crosses val="autoZero"/>
        <c:auto val="1"/>
        <c:lblAlgn val="ctr"/>
        <c:lblOffset val="100"/>
        <c:noMultiLvlLbl val="0"/>
      </c:catAx>
      <c:valAx>
        <c:axId val="365529744"/>
        <c:scaling>
          <c:orientation val="minMax"/>
          <c:max val="46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85195</xdr:colOff>
      <xdr:row>7</xdr:row>
      <xdr:rowOff>104245</xdr:rowOff>
    </xdr:from>
    <xdr:to>
      <xdr:col>8</xdr:col>
      <xdr:colOff>74083</xdr:colOff>
      <xdr:row>25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6EF64-22F5-4D0C-BD68-4C5DF7926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8</xdr:row>
      <xdr:rowOff>100011</xdr:rowOff>
    </xdr:from>
    <xdr:to>
      <xdr:col>8</xdr:col>
      <xdr:colOff>190500</xdr:colOff>
      <xdr:row>27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5064F-46FA-4D04-B11C-B40FDA3F1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8</xdr:row>
      <xdr:rowOff>119062</xdr:rowOff>
    </xdr:from>
    <xdr:to>
      <xdr:col>8</xdr:col>
      <xdr:colOff>247650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8E092-BA38-4332-8EE0-7A6FFCA0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7</xdr:row>
      <xdr:rowOff>100012</xdr:rowOff>
    </xdr:from>
    <xdr:to>
      <xdr:col>9</xdr:col>
      <xdr:colOff>28575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FA59F-B996-4714-A66A-F70CA2A2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1090612</xdr:colOff>
      <xdr:row>7</xdr:row>
      <xdr:rowOff>176212</xdr:rowOff>
    </xdr:from>
    <xdr:to>
      <xdr:col>9</xdr:col>
      <xdr:colOff>80962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88002-2B4F-4627-95AA-714DA1EA6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ya Watkins" refreshedDate="43558.49947210648" createdVersion="6" refreshedVersion="6" minRefreshableVersion="3" recordCount="22" xr:uid="{00B43336-EE2B-4A5D-B48E-49AECD0C0060}">
  <cacheSource type="worksheet">
    <worksheetSource ref="A3:S28" sheet="Data"/>
  </cacheSource>
  <cacheFields count="19">
    <cacheField name="Session" numFmtId="0">
      <sharedItems containsMixedTypes="1" containsNumber="1" containsInteger="1" minValue="1" maxValue="2" count="4">
        <s v="2018-Mar"/>
        <s v="2019-Mar"/>
        <n v="2" u="1"/>
        <n v="1" u="1"/>
      </sharedItems>
    </cacheField>
    <cacheField name="Date" numFmtId="166">
      <sharedItems containsSemiMixedTypes="0" containsNonDate="0" containsDate="1" containsString="0" minDate="2018-03-09T00:00:00" maxDate="2019-03-30T00:00:00"/>
    </cacheField>
    <cacheField name="Initials" numFmtId="17">
      <sharedItems/>
    </cacheField>
    <cacheField name="Participant" numFmtId="0">
      <sharedItems count="11">
        <s v="HW001"/>
        <s v="HW005"/>
        <s v="HW006"/>
        <s v="HW007"/>
        <s v="HW008"/>
        <s v="HW013"/>
        <s v="HW015"/>
        <s v="HW020"/>
        <s v="HW025"/>
        <s v="HW026"/>
        <s v="HW028"/>
      </sharedItems>
    </cacheField>
    <cacheField name="Letter acc" numFmtId="165">
      <sharedItems containsSemiMixedTypes="0" containsString="0" containsNumber="1" minValue="0.61899999999999999" maxValue="0.79365079365079361"/>
    </cacheField>
    <cacheField name="Spatial acc" numFmtId="165">
      <sharedItems containsSemiMixedTypes="0" containsString="0" containsNumber="1" minValue="0.60316999999999998" maxValue="0.79359999999999997"/>
    </cacheField>
    <cacheField name="Combined acc" numFmtId="165">
      <sharedItems containsSemiMixedTypes="0" containsString="0" containsNumber="1" minValue="0.62697999999999998" maxValue="0.76984126984126977"/>
    </cacheField>
    <cacheField name="Accuracy" numFmtId="165">
      <sharedItems containsSemiMixedTypes="0" containsString="0" containsNumber="1" minValue="0.73440000000000005" maxValue="0.98436999999999997"/>
    </cacheField>
    <cacheField name="RT (correct only)" numFmtId="0">
      <sharedItems containsSemiMixedTypes="0" containsString="0" containsNumber="1" minValue="1577.67" maxValue="8255.6200000000008"/>
    </cacheField>
    <cacheField name="Block span" numFmtId="0">
      <sharedItems containsSemiMixedTypes="0" containsString="0" containsNumber="1" containsInteger="1" minValue="5" maxValue="9"/>
    </cacheField>
    <cacheField name="Total Score" numFmtId="0">
      <sharedItems containsSemiMixedTypes="0" containsString="0" containsNumber="1" containsInteger="1" minValue="35" maxValue="126"/>
    </cacheField>
    <cacheField name="Total correct" numFmtId="0">
      <sharedItems containsSemiMixedTypes="0" containsString="0" containsNumber="1" containsInteger="1" minValue="7" maxValue="14"/>
    </cacheField>
    <cacheField name="Memory Span" numFmtId="0">
      <sharedItems containsSemiMixedTypes="0" containsString="0" containsNumber="1" minValue="4.5" maxValue="8"/>
    </cacheField>
    <cacheField name="Ceiling" numFmtId="0">
      <sharedItems containsSemiMixedTypes="0" containsString="0" containsNumber="1" containsInteger="1" minValue="31" maxValue="42"/>
    </cacheField>
    <cacheField name="Raw score" numFmtId="0">
      <sharedItems containsSemiMixedTypes="0" containsString="0" containsNumber="1" containsInteger="1" minValue="27" maxValue="38"/>
    </cacheField>
    <cacheField name="Accuracy2" numFmtId="165">
      <sharedItems containsSemiMixedTypes="0" containsString="0" containsNumber="1" minValue="0.66666666666666663" maxValue="0.97435897435897434"/>
    </cacheField>
    <cacheField name="Ceiling2" numFmtId="0">
      <sharedItems containsSemiMixedTypes="0" containsString="0" containsNumber="1" containsInteger="1" minValue="37" maxValue="46"/>
    </cacheField>
    <cacheField name="Raw score2" numFmtId="0">
      <sharedItems containsSemiMixedTypes="0" containsString="0" containsNumber="1" containsInteger="1" minValue="33" maxValue="46"/>
    </cacheField>
    <cacheField name="Accuracy3" numFmtId="165">
      <sharedItems containsSemiMixedTypes="0" containsString="0" containsNumber="1" minValue="0.687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d v="2018-03-09T00:00:00"/>
    <s v="MB"/>
    <x v="0"/>
    <n v="0.6825"/>
    <n v="0.76190000000000002"/>
    <n v="0.72219999999999995"/>
    <n v="0.73440000000000005"/>
    <n v="4052"/>
    <n v="5"/>
    <n v="35"/>
    <n v="7"/>
    <n v="4.5"/>
    <n v="38"/>
    <n v="30"/>
    <n v="0.78947368421052633"/>
    <n v="38"/>
    <n v="33"/>
    <n v="0.79166666666666663"/>
  </r>
  <r>
    <x v="1"/>
    <d v="2019-03-29T00:00:00"/>
    <s v="MB"/>
    <x v="0"/>
    <n v="0.73015873015873012"/>
    <n v="0.73015873015873012"/>
    <n v="0.73015873015873012"/>
    <n v="0.875"/>
    <n v="3193.1"/>
    <n v="5"/>
    <n v="40"/>
    <n v="8"/>
    <n v="5"/>
    <n v="42"/>
    <n v="30"/>
    <n v="0.7142857142857143"/>
    <n v="46"/>
    <n v="36"/>
    <n v="0.6875"/>
  </r>
  <r>
    <x v="0"/>
    <d v="2018-03-09T00:00:00"/>
    <s v="DM"/>
    <x v="1"/>
    <n v="0.746"/>
    <n v="0.73"/>
    <n v="0.73799999999999999"/>
    <n v="0.90629999999999999"/>
    <n v="2580"/>
    <n v="8"/>
    <n v="88"/>
    <n v="11"/>
    <n v="6.5"/>
    <n v="39"/>
    <n v="38"/>
    <n v="0.97435897435897434"/>
    <n v="45"/>
    <n v="42"/>
    <n v="0.90322580645161288"/>
  </r>
  <r>
    <x v="1"/>
    <d v="2019-03-29T00:00:00"/>
    <s v="DM"/>
    <x v="1"/>
    <n v="0.68253968253968256"/>
    <n v="0.68253968253968256"/>
    <n v="0.68253968253968256"/>
    <n v="0.96875"/>
    <n v="2036.2"/>
    <n v="6"/>
    <n v="60"/>
    <n v="10"/>
    <n v="6"/>
    <n v="42"/>
    <n v="34"/>
    <n v="0.80952380952380953"/>
    <n v="42"/>
    <n v="40"/>
    <n v="0.9285714285714286"/>
  </r>
  <r>
    <x v="0"/>
    <d v="2018-03-09T00:00:00"/>
    <s v="CM"/>
    <x v="2"/>
    <n v="0.66600000000000004"/>
    <n v="0.746"/>
    <n v="0.70599999999999996"/>
    <n v="0.92969999999999997"/>
    <n v="3752"/>
    <n v="6"/>
    <n v="54"/>
    <n v="9"/>
    <n v="5.5"/>
    <n v="33"/>
    <n v="30"/>
    <n v="0.90909090909090906"/>
    <n v="40"/>
    <n v="40"/>
    <n v="1"/>
  </r>
  <r>
    <x v="1"/>
    <d v="2019-03-29T00:00:00"/>
    <s v="CM"/>
    <x v="2"/>
    <n v="0.74603174603174605"/>
    <n v="0.73015873015873012"/>
    <n v="0.73809523809523814"/>
    <n v="0.890625"/>
    <n v="2807.5"/>
    <n v="6"/>
    <n v="60"/>
    <n v="10"/>
    <n v="6"/>
    <n v="39"/>
    <n v="29"/>
    <n v="0.74358974358974361"/>
    <n v="43"/>
    <n v="41"/>
    <n v="0.93103448275862066"/>
  </r>
  <r>
    <x v="0"/>
    <d v="2018-03-09T00:00:00"/>
    <s v="MW"/>
    <x v="3"/>
    <n v="0.73019999999999996"/>
    <n v="0.71430000000000005"/>
    <n v="0.72225000000000006"/>
    <n v="0.92969999999999997"/>
    <n v="2965"/>
    <n v="6"/>
    <n v="60"/>
    <n v="10"/>
    <n v="6"/>
    <n v="40"/>
    <n v="30"/>
    <n v="0.75"/>
    <n v="43"/>
    <n v="39"/>
    <n v="0.86206896551724133"/>
  </r>
  <r>
    <x v="1"/>
    <d v="2019-03-29T00:00:00"/>
    <s v="MW"/>
    <x v="3"/>
    <n v="0.79365079365079361"/>
    <n v="0.74603174603174605"/>
    <n v="0.76984126984126977"/>
    <n v="0.9140625"/>
    <n v="2004.3"/>
    <n v="6"/>
    <n v="60"/>
    <n v="10"/>
    <n v="6"/>
    <n v="38"/>
    <n v="28"/>
    <n v="0.73684210526315785"/>
    <n v="43"/>
    <n v="42"/>
    <n v="0.96551724137931039"/>
  </r>
  <r>
    <x v="0"/>
    <d v="2018-03-09T00:00:00"/>
    <s v="CO"/>
    <x v="4"/>
    <n v="0.746"/>
    <n v="0.73"/>
    <n v="0.73799999999999999"/>
    <n v="0.95310000000000006"/>
    <n v="2507"/>
    <n v="8"/>
    <n v="80"/>
    <n v="10"/>
    <n v="6"/>
    <n v="38"/>
    <n v="33"/>
    <n v="0.86842105263157898"/>
    <n v="45"/>
    <n v="45"/>
    <n v="1"/>
  </r>
  <r>
    <x v="1"/>
    <d v="2019-03-29T00:00:00"/>
    <s v="CO"/>
    <x v="4"/>
    <n v="0.74603174603174605"/>
    <n v="0.77777777777777779"/>
    <n v="0.76190476190476186"/>
    <n v="0.96875"/>
    <n v="2350.8000000000002"/>
    <n v="8"/>
    <n v="80"/>
    <n v="10"/>
    <n v="6"/>
    <n v="38"/>
    <n v="30"/>
    <n v="0.78947368421052633"/>
    <n v="46"/>
    <n v="46"/>
    <n v="1"/>
  </r>
  <r>
    <x v="0"/>
    <d v="2018-03-09T00:00:00"/>
    <s v="MF"/>
    <x v="5"/>
    <n v="0.68300000000000005"/>
    <n v="0.71399999999999997"/>
    <n v="0.69850000000000001"/>
    <n v="0.875"/>
    <n v="3057"/>
    <n v="6"/>
    <n v="60"/>
    <n v="10"/>
    <n v="6"/>
    <n v="42"/>
    <n v="31"/>
    <n v="0.73809523809523814"/>
    <n v="46"/>
    <n v="39"/>
    <n v="0.78125"/>
  </r>
  <r>
    <x v="1"/>
    <d v="2019-03-29T00:00:00"/>
    <s v="MF"/>
    <x v="5"/>
    <n v="0.68253968253968256"/>
    <n v="0.69841269841269837"/>
    <n v="0.69047619047619047"/>
    <n v="0.8046875"/>
    <n v="2122.1999999999998"/>
    <n v="8"/>
    <n v="96"/>
    <n v="12"/>
    <n v="7"/>
    <n v="42"/>
    <n v="29"/>
    <n v="0.69047619047619047"/>
    <n v="46"/>
    <n v="39"/>
    <n v="0.78125"/>
  </r>
  <r>
    <x v="0"/>
    <d v="2018-03-09T00:00:00"/>
    <s v="HC"/>
    <x v="6"/>
    <n v="0.73"/>
    <n v="0.69799999999999995"/>
    <n v="0.71399999999999997"/>
    <n v="0.90629999999999999"/>
    <n v="2376"/>
    <n v="6"/>
    <n v="48"/>
    <n v="8"/>
    <n v="5"/>
    <n v="42"/>
    <n v="31"/>
    <n v="0.73809523809523814"/>
    <n v="41"/>
    <n v="40"/>
    <n v="0.96296296296296291"/>
  </r>
  <r>
    <x v="1"/>
    <d v="2019-03-28T00:00:00"/>
    <s v="HC"/>
    <x v="6"/>
    <n v="0.7142857142857143"/>
    <n v="0.7142857142857143"/>
    <n v="0.7142857142857143"/>
    <n v="0.7578125"/>
    <n v="1588.93"/>
    <n v="6"/>
    <n v="48"/>
    <n v="8"/>
    <n v="5"/>
    <n v="42"/>
    <n v="34"/>
    <n v="0.80952380952380953"/>
    <n v="42"/>
    <n v="38"/>
    <n v="0.8571428571428571"/>
  </r>
  <r>
    <x v="0"/>
    <d v="2018-03-23T00:00:00"/>
    <s v="NB"/>
    <x v="7"/>
    <n v="0.61899999999999999"/>
    <n v="0.71399999999999997"/>
    <n v="0.66649999999999998"/>
    <n v="0.91400000000000003"/>
    <n v="1933.9"/>
    <n v="8"/>
    <n v="72"/>
    <n v="9"/>
    <n v="5.5"/>
    <n v="42"/>
    <n v="30"/>
    <n v="0.7142857142857143"/>
    <n v="45"/>
    <n v="39"/>
    <n v="0.80645161290322576"/>
  </r>
  <r>
    <x v="1"/>
    <d v="2019-03-28T00:00:00"/>
    <s v="NB"/>
    <x v="7"/>
    <n v="0.68253968253968256"/>
    <n v="0.76190476190476186"/>
    <n v="0.72222222222222221"/>
    <n v="0.921875"/>
    <n v="1577.67"/>
    <n v="8"/>
    <n v="80"/>
    <n v="10"/>
    <n v="6"/>
    <n v="42"/>
    <n v="33"/>
    <n v="0.7857142857142857"/>
    <n v="46"/>
    <n v="40"/>
    <n v="0.8125"/>
  </r>
  <r>
    <x v="0"/>
    <d v="2018-03-23T00:00:00"/>
    <s v="WD"/>
    <x v="8"/>
    <n v="0.76190000000000002"/>
    <n v="0.76190000000000002"/>
    <n v="0.76190000000000002"/>
    <n v="0.98436999999999997"/>
    <n v="8255.6200000000008"/>
    <n v="6"/>
    <n v="54"/>
    <n v="9"/>
    <n v="5.5"/>
    <n v="31"/>
    <n v="27"/>
    <n v="0.87096774193548387"/>
    <n v="37"/>
    <n v="37"/>
    <n v="1"/>
  </r>
  <r>
    <x v="1"/>
    <d v="2019-03-29T00:00:00"/>
    <s v="WD"/>
    <x v="8"/>
    <n v="0.68253968253968256"/>
    <n v="0.69841269841269837"/>
    <n v="0.69047619047619047"/>
    <n v="0.9609375"/>
    <n v="5287.95"/>
    <n v="5"/>
    <n v="40"/>
    <n v="8"/>
    <n v="5"/>
    <n v="32"/>
    <n v="28"/>
    <n v="0.875"/>
    <n v="39"/>
    <n v="38"/>
    <n v="0.96"/>
  </r>
  <r>
    <x v="0"/>
    <d v="2018-03-23T00:00:00"/>
    <s v="EM"/>
    <x v="9"/>
    <n v="0.65078999999999998"/>
    <n v="0.60316999999999998"/>
    <n v="0.62697999999999998"/>
    <n v="0.9375"/>
    <n v="2430.1799999999998"/>
    <n v="5"/>
    <n v="40"/>
    <n v="8"/>
    <n v="5"/>
    <n v="42"/>
    <n v="28"/>
    <n v="0.66666666666666663"/>
    <n v="45"/>
    <n v="40"/>
    <n v="0.83870967741935487"/>
  </r>
  <r>
    <x v="1"/>
    <d v="2019-03-28T00:00:00"/>
    <s v="EM"/>
    <x v="9"/>
    <n v="0.65079365079365081"/>
    <n v="0.74603174603174605"/>
    <n v="0.69841269841269837"/>
    <n v="0.9765625"/>
    <n v="1920.85"/>
    <n v="6"/>
    <n v="54"/>
    <n v="9"/>
    <n v="5.5"/>
    <n v="42"/>
    <n v="31"/>
    <n v="0.73809523809523814"/>
    <n v="46"/>
    <n v="40"/>
    <n v="0.8125"/>
  </r>
  <r>
    <x v="0"/>
    <d v="2018-03-23T00:00:00"/>
    <s v="CE"/>
    <x v="10"/>
    <n v="0.73009999999999997"/>
    <n v="0.79359999999999997"/>
    <n v="0.76184999999999992"/>
    <n v="0.95309999999999995"/>
    <n v="3695.9"/>
    <n v="9"/>
    <n v="126"/>
    <n v="14"/>
    <n v="8"/>
    <n v="38"/>
    <n v="31"/>
    <n v="0.81578947368421051"/>
    <n v="42"/>
    <n v="41"/>
    <n v="0.9642857142857143"/>
  </r>
  <r>
    <x v="1"/>
    <d v="2019-03-29T00:00:00"/>
    <s v="CE"/>
    <x v="10"/>
    <n v="0.76190476190476186"/>
    <n v="0.76190476190476186"/>
    <n v="0.76190476190476186"/>
    <n v="0.9609375"/>
    <n v="2527.6999999999998"/>
    <n v="8"/>
    <n v="96"/>
    <n v="12"/>
    <n v="7"/>
    <n v="42"/>
    <n v="35"/>
    <n v="0.83333333333333337"/>
    <n v="46"/>
    <n v="44"/>
    <n v="0.9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5CE2E-059E-439E-BD2E-0D34455A1E9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M7" firstHeaderRow="1" firstDataRow="2" firstDataCol="1"/>
  <pivotFields count="19">
    <pivotField axis="axisRow" showAll="0">
      <items count="5">
        <item m="1" x="3"/>
        <item m="1" x="2"/>
        <item x="0"/>
        <item x="1"/>
        <item t="default"/>
      </items>
    </pivotField>
    <pivotField numFmtId="166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5" showAll="0"/>
    <pivotField numFmtId="165" showAll="0"/>
    <pivotField dataField="1"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Combined acc" fld="6" subtotal="average" baseField="3" baseItem="0" numFmtId="2"/>
  </dataFields>
  <formats count="1">
    <format dxfId="3">
      <pivotArea outline="0" collapsedLevelsAreSubtotals="1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E43D0-B526-45AB-808A-BAE390976C6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M7" firstHeaderRow="1" firstDataRow="2" firstDataCol="1"/>
  <pivotFields count="19">
    <pivotField axis="axisRow" showAll="0">
      <items count="5">
        <item m="1" x="3"/>
        <item m="1" x="2"/>
        <item x="0"/>
        <item x="1"/>
        <item t="default"/>
      </items>
    </pivotField>
    <pivotField numFmtId="166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5" showAll="0"/>
    <pivotField numFmtId="165" showAll="0"/>
    <pivotField numFmtId="165" showAll="0"/>
    <pivotField numFmtId="165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RT (correct only)" fld="8" subtotal="average" baseField="3" baseItem="0" numFmtId="1"/>
  </dataFields>
  <formats count="1">
    <format dxfId="2">
      <pivotArea outline="0" collapsedLevelsAreSubtotals="1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DC9A0-A425-4663-B53B-C7A3465354B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M7" firstHeaderRow="1" firstDataRow="2" firstDataCol="1"/>
  <pivotFields count="19">
    <pivotField axis="axisRow" showAll="0">
      <items count="5">
        <item m="1" x="3"/>
        <item m="1" x="2"/>
        <item x="0"/>
        <item x="1"/>
        <item t="default"/>
      </items>
    </pivotField>
    <pivotField numFmtId="166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Memory Span" fld="12" baseField="0" baseItem="0"/>
  </dataFields>
  <chartFormats count="22">
    <chartFormat chart="3" format="1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3" format="17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3" format="18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3" format="19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3" format="20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3" format="21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3" format="22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3" format="23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0377F-0F41-4F3F-8BBB-4E0EED6FFC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M7" firstHeaderRow="1" firstDataRow="2" firstDataCol="1"/>
  <pivotFields count="19">
    <pivotField axis="axisRow" showAll="0">
      <items count="5">
        <item m="1" x="3"/>
        <item m="1" x="2"/>
        <item x="0"/>
        <item x="1"/>
        <item t="default"/>
      </items>
    </pivotField>
    <pivotField numFmtId="166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ccuracy2" fld="15" baseField="0" baseItem="0"/>
  </dataFields>
  <formats count="1">
    <format dxfId="1">
      <pivotArea outline="0" collapsedLevelsAreSubtotals="1" fieldPosition="0"/>
    </format>
  </formats>
  <chartFormats count="22">
    <chartFormat chart="1" format="2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2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2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2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2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27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1" format="28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1" format="29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1" format="30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1" format="31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1" format="32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946AB-3BA6-4335-A9C7-C93A020FA13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M7" firstHeaderRow="1" firstDataRow="2" firstDataCol="1"/>
  <pivotFields count="19">
    <pivotField axis="axisRow" showAll="0">
      <items count="5">
        <item m="1" x="3"/>
        <item m="1" x="2"/>
        <item x="0"/>
        <item x="1"/>
        <item t="default"/>
      </items>
    </pivotField>
    <pivotField numFmtId="166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dataField="1" showAll="0"/>
    <pivotField numFmtId="165" showAll="0"/>
  </pivotFields>
  <rowFields count="1">
    <field x="0"/>
  </rowFields>
  <rowItems count="3">
    <i>
      <x v="2"/>
    </i>
    <i>
      <x v="3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Raw score2" fld="17" baseField="0" baseItem="0"/>
  </dataFields>
  <formats count="1">
    <format dxfId="0">
      <pivotArea outline="0" collapsedLevelsAreSubtotals="1" fieldPosition="0"/>
    </format>
  </formats>
  <chartFormats count="11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zoomScale="80" zoomScaleNormal="80" workbookViewId="0">
      <selection activeCell="J36" sqref="J36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7.140625" bestFit="1" customWidth="1"/>
    <col min="4" max="4" width="10.5703125" bestFit="1" customWidth="1"/>
    <col min="5" max="5" width="9.5703125" bestFit="1" customWidth="1"/>
    <col min="6" max="6" width="10.42578125" bestFit="1" customWidth="1"/>
    <col min="7" max="7" width="13.42578125" bestFit="1" customWidth="1"/>
    <col min="8" max="8" width="9.140625" bestFit="1" customWidth="1"/>
    <col min="9" max="9" width="15.85546875" bestFit="1" customWidth="1"/>
    <col min="10" max="10" width="10.28515625" bestFit="1" customWidth="1"/>
    <col min="11" max="11" width="10.7109375" bestFit="1" customWidth="1"/>
    <col min="12" max="12" width="12" bestFit="1" customWidth="1"/>
    <col min="13" max="13" width="13.42578125" bestFit="1" customWidth="1"/>
    <col min="20" max="20" width="8.42578125" customWidth="1"/>
    <col min="21" max="21" width="8.85546875" bestFit="1" customWidth="1"/>
    <col min="22" max="22" width="6.28515625" bestFit="1" customWidth="1"/>
    <col min="23" max="23" width="7.42578125" bestFit="1" customWidth="1"/>
  </cols>
  <sheetData>
    <row r="1" spans="1:23" x14ac:dyDescent="0.25">
      <c r="E1" s="52" t="s">
        <v>4</v>
      </c>
      <c r="F1" s="53"/>
      <c r="G1" s="54"/>
      <c r="H1" s="52" t="s">
        <v>3</v>
      </c>
      <c r="I1" s="54"/>
      <c r="J1" s="52" t="s">
        <v>6</v>
      </c>
      <c r="K1" s="53"/>
      <c r="L1" s="53"/>
      <c r="M1" s="54"/>
      <c r="N1" s="55" t="s">
        <v>9</v>
      </c>
      <c r="O1" s="51"/>
      <c r="P1" s="51"/>
      <c r="Q1" s="55" t="s">
        <v>10</v>
      </c>
      <c r="R1" s="51"/>
      <c r="S1" s="56"/>
    </row>
    <row r="2" spans="1:23" x14ac:dyDescent="0.25">
      <c r="E2" s="57" t="s">
        <v>31</v>
      </c>
      <c r="F2" s="58"/>
      <c r="G2" s="59"/>
      <c r="H2" s="57" t="s">
        <v>34</v>
      </c>
      <c r="I2" s="59"/>
      <c r="J2" s="57" t="s">
        <v>33</v>
      </c>
      <c r="K2" s="58"/>
      <c r="L2" s="58"/>
      <c r="M2" s="59"/>
      <c r="N2" s="57" t="s">
        <v>32</v>
      </c>
      <c r="O2" s="58"/>
      <c r="P2" s="59"/>
      <c r="Q2" s="57" t="s">
        <v>52</v>
      </c>
      <c r="R2" s="58"/>
      <c r="S2" s="59"/>
      <c r="U2" s="51"/>
      <c r="V2" s="51"/>
    </row>
    <row r="3" spans="1:23" x14ac:dyDescent="0.25">
      <c r="A3" s="13" t="s">
        <v>41</v>
      </c>
      <c r="B3" s="13" t="s">
        <v>55</v>
      </c>
      <c r="C3" s="13" t="s">
        <v>56</v>
      </c>
      <c r="D3" s="26" t="s">
        <v>2</v>
      </c>
      <c r="E3" s="2" t="s">
        <v>28</v>
      </c>
      <c r="F3" s="4" t="s">
        <v>29</v>
      </c>
      <c r="G3" s="3" t="s">
        <v>30</v>
      </c>
      <c r="H3" s="4" t="s">
        <v>5</v>
      </c>
      <c r="I3" s="3" t="s">
        <v>27</v>
      </c>
      <c r="J3" s="2" t="s">
        <v>16</v>
      </c>
      <c r="K3" s="4" t="s">
        <v>11</v>
      </c>
      <c r="L3" s="4" t="s">
        <v>15</v>
      </c>
      <c r="M3" s="4" t="s">
        <v>7</v>
      </c>
      <c r="N3" s="2" t="s">
        <v>12</v>
      </c>
      <c r="O3" s="4" t="s">
        <v>13</v>
      </c>
      <c r="P3" s="4" t="s">
        <v>5</v>
      </c>
      <c r="Q3" s="2" t="s">
        <v>12</v>
      </c>
      <c r="R3" s="4" t="s">
        <v>13</v>
      </c>
      <c r="S3" s="3" t="s">
        <v>5</v>
      </c>
      <c r="T3" s="5"/>
      <c r="U3" s="5"/>
      <c r="V3" s="5"/>
      <c r="W3" s="5"/>
    </row>
    <row r="4" spans="1:23" x14ac:dyDescent="0.25">
      <c r="A4" s="11" t="s">
        <v>103</v>
      </c>
      <c r="B4" s="30">
        <v>43168</v>
      </c>
      <c r="C4" s="31" t="s">
        <v>81</v>
      </c>
      <c r="D4" s="11" t="s">
        <v>0</v>
      </c>
      <c r="E4" s="32">
        <v>0.6825</v>
      </c>
      <c r="F4" s="9">
        <v>0.76190000000000002</v>
      </c>
      <c r="G4" s="20">
        <f>AVERAGE(E4:F4)</f>
        <v>0.72219999999999995</v>
      </c>
      <c r="H4" s="9">
        <v>0.73440000000000005</v>
      </c>
      <c r="I4" s="10">
        <v>4052</v>
      </c>
      <c r="J4" s="11">
        <v>5</v>
      </c>
      <c r="K4" s="11">
        <v>35</v>
      </c>
      <c r="L4" s="11">
        <v>7</v>
      </c>
      <c r="M4" s="10">
        <v>4.5</v>
      </c>
      <c r="N4" s="11">
        <v>38</v>
      </c>
      <c r="O4" s="11">
        <v>30</v>
      </c>
      <c r="P4" s="44">
        <f>O4/N4</f>
        <v>0.78947368421052633</v>
      </c>
      <c r="Q4" s="28">
        <v>38</v>
      </c>
      <c r="R4" s="33">
        <v>33</v>
      </c>
      <c r="S4" s="12">
        <f>(R4-14)/(Q4-14)</f>
        <v>0.79166666666666663</v>
      </c>
      <c r="U4" s="7"/>
      <c r="V4" s="8"/>
    </row>
    <row r="5" spans="1:23" x14ac:dyDescent="0.25">
      <c r="A5" s="11" t="s">
        <v>103</v>
      </c>
      <c r="B5" s="30">
        <v>43168</v>
      </c>
      <c r="C5" s="31" t="s">
        <v>82</v>
      </c>
      <c r="D5" s="10" t="s">
        <v>8</v>
      </c>
      <c r="E5" s="9">
        <v>0.746</v>
      </c>
      <c r="F5" s="9">
        <v>0.73</v>
      </c>
      <c r="G5" s="20">
        <f>AVERAGE(E5:F5)</f>
        <v>0.73799999999999999</v>
      </c>
      <c r="H5" s="9">
        <v>0.90629999999999999</v>
      </c>
      <c r="I5" s="10">
        <v>2580</v>
      </c>
      <c r="J5" s="11">
        <v>8</v>
      </c>
      <c r="K5" s="11">
        <v>88</v>
      </c>
      <c r="L5" s="11">
        <v>11</v>
      </c>
      <c r="M5" s="10">
        <v>6.5</v>
      </c>
      <c r="N5" s="11">
        <v>39</v>
      </c>
      <c r="O5" s="11">
        <v>38</v>
      </c>
      <c r="P5" s="44">
        <f>O5/N5</f>
        <v>0.97435897435897434</v>
      </c>
      <c r="Q5" s="62">
        <v>45</v>
      </c>
      <c r="R5" s="11">
        <v>42</v>
      </c>
      <c r="S5" s="12">
        <f>(R5-14)/(Q5-14)</f>
        <v>0.90322580645161288</v>
      </c>
      <c r="U5" s="7"/>
      <c r="V5" s="8"/>
    </row>
    <row r="6" spans="1:23" x14ac:dyDescent="0.25">
      <c r="A6" s="11" t="s">
        <v>103</v>
      </c>
      <c r="B6" s="30">
        <v>43168</v>
      </c>
      <c r="C6" s="31" t="s">
        <v>71</v>
      </c>
      <c r="D6" s="10" t="s">
        <v>14</v>
      </c>
      <c r="E6" s="9">
        <v>0.66600000000000004</v>
      </c>
      <c r="F6" s="9">
        <v>0.746</v>
      </c>
      <c r="G6" s="20">
        <f>AVERAGE(E6:F6)</f>
        <v>0.70599999999999996</v>
      </c>
      <c r="H6" s="9">
        <v>0.92969999999999997</v>
      </c>
      <c r="I6" s="10">
        <v>3752</v>
      </c>
      <c r="J6" s="11">
        <v>6</v>
      </c>
      <c r="K6" s="11">
        <v>54</v>
      </c>
      <c r="L6" s="11">
        <v>9</v>
      </c>
      <c r="M6" s="10">
        <v>5.5</v>
      </c>
      <c r="N6" s="11">
        <v>33</v>
      </c>
      <c r="O6" s="11">
        <v>30</v>
      </c>
      <c r="P6" s="44">
        <f>O6/N6</f>
        <v>0.90909090909090906</v>
      </c>
      <c r="Q6" s="28">
        <v>40</v>
      </c>
      <c r="R6" s="11">
        <v>40</v>
      </c>
      <c r="S6" s="12">
        <f>(R6-14)/(Q6-14)</f>
        <v>1</v>
      </c>
      <c r="U6" s="7"/>
      <c r="V6" s="8"/>
    </row>
    <row r="7" spans="1:23" x14ac:dyDescent="0.25">
      <c r="A7" s="11" t="s">
        <v>103</v>
      </c>
      <c r="B7" s="30">
        <v>43168</v>
      </c>
      <c r="C7" s="31" t="s">
        <v>83</v>
      </c>
      <c r="D7" s="10" t="s">
        <v>17</v>
      </c>
      <c r="E7" s="9">
        <v>0.73019999999999996</v>
      </c>
      <c r="F7" s="9">
        <v>0.71430000000000005</v>
      </c>
      <c r="G7" s="12">
        <f>AVERAGE(E7:F7)</f>
        <v>0.72225000000000006</v>
      </c>
      <c r="H7" s="9">
        <v>0.92969999999999997</v>
      </c>
      <c r="I7" s="10">
        <v>2965</v>
      </c>
      <c r="J7" s="11">
        <v>6</v>
      </c>
      <c r="K7" s="11">
        <v>60</v>
      </c>
      <c r="L7" s="11">
        <v>10</v>
      </c>
      <c r="M7" s="10">
        <v>6</v>
      </c>
      <c r="N7" s="11">
        <v>40</v>
      </c>
      <c r="O7" s="11">
        <v>30</v>
      </c>
      <c r="P7" s="44">
        <f>O7/N7</f>
        <v>0.75</v>
      </c>
      <c r="Q7" s="62">
        <v>43</v>
      </c>
      <c r="R7" s="11">
        <v>39</v>
      </c>
      <c r="S7" s="12">
        <f>(R7-14)/(Q7-14)</f>
        <v>0.86206896551724133</v>
      </c>
      <c r="U7" s="7"/>
      <c r="V7" s="8"/>
    </row>
    <row r="8" spans="1:23" x14ac:dyDescent="0.25">
      <c r="A8" s="11" t="s">
        <v>103</v>
      </c>
      <c r="B8" s="30">
        <v>43168</v>
      </c>
      <c r="C8" s="31" t="s">
        <v>84</v>
      </c>
      <c r="D8" s="10" t="s">
        <v>19</v>
      </c>
      <c r="E8" s="9">
        <v>0.746</v>
      </c>
      <c r="F8" s="9">
        <v>0.73</v>
      </c>
      <c r="G8" s="20">
        <f>AVERAGE(E8:F8)</f>
        <v>0.73799999999999999</v>
      </c>
      <c r="H8" s="9">
        <v>0.95310000000000006</v>
      </c>
      <c r="I8" s="10">
        <v>2507</v>
      </c>
      <c r="J8" s="11">
        <v>8</v>
      </c>
      <c r="K8" s="11">
        <v>80</v>
      </c>
      <c r="L8" s="11">
        <v>10</v>
      </c>
      <c r="M8" s="10">
        <v>6</v>
      </c>
      <c r="N8" s="11">
        <v>38</v>
      </c>
      <c r="O8" s="11">
        <v>33</v>
      </c>
      <c r="P8" s="44">
        <f>O8/N8</f>
        <v>0.86842105263157898</v>
      </c>
      <c r="Q8" s="28">
        <v>45</v>
      </c>
      <c r="R8" s="11">
        <v>45</v>
      </c>
      <c r="S8" s="12">
        <f>(R8-14)/(Q8-14)</f>
        <v>1</v>
      </c>
      <c r="U8" s="7"/>
      <c r="V8" s="8"/>
    </row>
    <row r="9" spans="1:23" x14ac:dyDescent="0.25">
      <c r="A9" s="11" t="s">
        <v>103</v>
      </c>
      <c r="B9" s="30">
        <v>43168</v>
      </c>
      <c r="C9" s="31" t="s">
        <v>85</v>
      </c>
      <c r="D9" s="10" t="s">
        <v>23</v>
      </c>
      <c r="E9" s="9">
        <v>0.68300000000000005</v>
      </c>
      <c r="F9" s="9">
        <v>0.71399999999999997</v>
      </c>
      <c r="G9" s="20">
        <f>AVERAGE(E9:F9)</f>
        <v>0.69850000000000001</v>
      </c>
      <c r="H9" s="9">
        <v>0.875</v>
      </c>
      <c r="I9" s="10">
        <v>3057</v>
      </c>
      <c r="J9" s="11">
        <v>6</v>
      </c>
      <c r="K9" s="11">
        <v>60</v>
      </c>
      <c r="L9" s="11">
        <v>10</v>
      </c>
      <c r="M9" s="10">
        <v>6</v>
      </c>
      <c r="N9" s="11">
        <v>42</v>
      </c>
      <c r="O9" s="11">
        <v>31</v>
      </c>
      <c r="P9" s="44">
        <f>O9/N9</f>
        <v>0.73809523809523814</v>
      </c>
      <c r="Q9" s="11">
        <v>46</v>
      </c>
      <c r="R9" s="11">
        <v>39</v>
      </c>
      <c r="S9" s="12">
        <f>(R9-14)/(Q9-14)</f>
        <v>0.78125</v>
      </c>
      <c r="U9" s="7"/>
      <c r="V9" s="8"/>
    </row>
    <row r="10" spans="1:23" x14ac:dyDescent="0.25">
      <c r="A10" s="11" t="s">
        <v>103</v>
      </c>
      <c r="B10" s="30">
        <v>43168</v>
      </c>
      <c r="C10" s="31" t="s">
        <v>86</v>
      </c>
      <c r="D10" s="10" t="s">
        <v>25</v>
      </c>
      <c r="E10" s="9">
        <v>0.73</v>
      </c>
      <c r="F10" s="9">
        <v>0.69799999999999995</v>
      </c>
      <c r="G10" s="20">
        <f>AVERAGE(E10:F10)</f>
        <v>0.71399999999999997</v>
      </c>
      <c r="H10" s="9">
        <v>0.90629999999999999</v>
      </c>
      <c r="I10" s="10">
        <v>2376</v>
      </c>
      <c r="J10" s="62">
        <v>6</v>
      </c>
      <c r="K10" s="11">
        <v>48</v>
      </c>
      <c r="L10" s="11">
        <v>8</v>
      </c>
      <c r="M10" s="10">
        <v>5</v>
      </c>
      <c r="N10" s="11">
        <v>42</v>
      </c>
      <c r="O10" s="11">
        <v>31</v>
      </c>
      <c r="P10" s="44">
        <f>O10/N10</f>
        <v>0.73809523809523814</v>
      </c>
      <c r="Q10" s="28">
        <v>41</v>
      </c>
      <c r="R10" s="11">
        <v>40</v>
      </c>
      <c r="S10" s="12">
        <f>(R10-14)/(Q10-14)</f>
        <v>0.96296296296296291</v>
      </c>
      <c r="U10" s="7"/>
      <c r="V10" s="8"/>
    </row>
    <row r="11" spans="1:23" x14ac:dyDescent="0.25">
      <c r="A11" s="11" t="s">
        <v>103</v>
      </c>
      <c r="B11" s="30">
        <v>43182</v>
      </c>
      <c r="C11" s="31" t="s">
        <v>87</v>
      </c>
      <c r="D11" s="10" t="s">
        <v>38</v>
      </c>
      <c r="E11" s="19">
        <v>0.61899999999999999</v>
      </c>
      <c r="F11" s="19">
        <v>0.71399999999999997</v>
      </c>
      <c r="G11" s="20">
        <f>AVERAGE(E11:F11)</f>
        <v>0.66649999999999998</v>
      </c>
      <c r="H11" s="19">
        <v>0.91400000000000003</v>
      </c>
      <c r="I11" s="38">
        <v>1933.9</v>
      </c>
      <c r="J11" s="62">
        <v>8</v>
      </c>
      <c r="K11" s="11">
        <v>72</v>
      </c>
      <c r="L11" s="11">
        <v>9</v>
      </c>
      <c r="M11" s="10">
        <v>5.5</v>
      </c>
      <c r="N11" s="11">
        <v>42</v>
      </c>
      <c r="O11" s="11">
        <v>30</v>
      </c>
      <c r="P11" s="44">
        <f>O11/N11</f>
        <v>0.7142857142857143</v>
      </c>
      <c r="Q11" s="62">
        <v>45</v>
      </c>
      <c r="R11" s="11">
        <v>39</v>
      </c>
      <c r="S11" s="12">
        <f>(R11-14)/(Q11-14)</f>
        <v>0.80645161290322576</v>
      </c>
    </row>
    <row r="12" spans="1:23" x14ac:dyDescent="0.25">
      <c r="A12" s="11" t="s">
        <v>103</v>
      </c>
      <c r="B12" s="30">
        <v>43182</v>
      </c>
      <c r="C12" s="31" t="s">
        <v>88</v>
      </c>
      <c r="D12" s="10" t="s">
        <v>44</v>
      </c>
      <c r="E12" s="19">
        <v>0.76190000000000002</v>
      </c>
      <c r="F12" s="19">
        <v>0.76190000000000002</v>
      </c>
      <c r="G12" s="20">
        <f>AVERAGE(E12:F12)</f>
        <v>0.76190000000000002</v>
      </c>
      <c r="H12" s="19">
        <v>0.98436999999999997</v>
      </c>
      <c r="I12" s="38">
        <v>8255.6200000000008</v>
      </c>
      <c r="J12" s="62">
        <v>6</v>
      </c>
      <c r="K12" s="11">
        <v>54</v>
      </c>
      <c r="L12" s="11">
        <v>9</v>
      </c>
      <c r="M12" s="10">
        <v>5.5</v>
      </c>
      <c r="N12" s="11">
        <v>31</v>
      </c>
      <c r="O12" s="11">
        <v>27</v>
      </c>
      <c r="P12" s="44">
        <f>O12/N12</f>
        <v>0.87096774193548387</v>
      </c>
      <c r="Q12" s="62">
        <v>37</v>
      </c>
      <c r="R12" s="11">
        <v>37</v>
      </c>
      <c r="S12" s="12">
        <f>(R12-14)/(Q12-14)</f>
        <v>1</v>
      </c>
      <c r="U12" s="7"/>
      <c r="V12" s="8"/>
    </row>
    <row r="13" spans="1:23" x14ac:dyDescent="0.25">
      <c r="A13" s="11" t="s">
        <v>103</v>
      </c>
      <c r="B13" s="30">
        <v>43182</v>
      </c>
      <c r="C13" s="31" t="s">
        <v>90</v>
      </c>
      <c r="D13" s="10" t="s">
        <v>45</v>
      </c>
      <c r="E13" s="19">
        <v>0.65078999999999998</v>
      </c>
      <c r="F13" s="19">
        <v>0.60316999999999998</v>
      </c>
      <c r="G13" s="20">
        <f>AVERAGE(E13:F13)</f>
        <v>0.62697999999999998</v>
      </c>
      <c r="H13" s="19">
        <v>0.9375</v>
      </c>
      <c r="I13" s="38">
        <v>2430.1799999999998</v>
      </c>
      <c r="J13" s="62">
        <v>5</v>
      </c>
      <c r="K13" s="11">
        <v>40</v>
      </c>
      <c r="L13" s="11">
        <v>8</v>
      </c>
      <c r="M13" s="10">
        <v>5</v>
      </c>
      <c r="N13" s="11">
        <v>42</v>
      </c>
      <c r="O13" s="11">
        <v>28</v>
      </c>
      <c r="P13" s="44">
        <f>O13/N13</f>
        <v>0.66666666666666663</v>
      </c>
      <c r="Q13" s="28">
        <v>45</v>
      </c>
      <c r="R13" s="11">
        <v>40</v>
      </c>
      <c r="S13" s="12">
        <f>(R13-14)/(Q13-14)</f>
        <v>0.83870967741935487</v>
      </c>
    </row>
    <row r="14" spans="1:23" x14ac:dyDescent="0.25">
      <c r="A14" s="11" t="s">
        <v>103</v>
      </c>
      <c r="B14" s="30">
        <v>43182</v>
      </c>
      <c r="C14" s="31" t="s">
        <v>89</v>
      </c>
      <c r="D14" s="10" t="s">
        <v>48</v>
      </c>
      <c r="E14" s="19">
        <v>0.73009999999999997</v>
      </c>
      <c r="F14" s="19">
        <v>0.79359999999999997</v>
      </c>
      <c r="G14" s="20">
        <f>AVERAGE(E14:F14)</f>
        <v>0.76184999999999992</v>
      </c>
      <c r="H14" s="9">
        <v>0.95309999999999995</v>
      </c>
      <c r="I14" s="21">
        <v>3695.9</v>
      </c>
      <c r="J14" s="62">
        <v>9</v>
      </c>
      <c r="K14" s="11">
        <v>126</v>
      </c>
      <c r="L14" s="11">
        <v>14</v>
      </c>
      <c r="M14" s="10">
        <v>8</v>
      </c>
      <c r="N14" s="11">
        <v>38</v>
      </c>
      <c r="O14" s="11">
        <v>31</v>
      </c>
      <c r="P14" s="44">
        <f>O14/N14</f>
        <v>0.81578947368421051</v>
      </c>
      <c r="Q14" s="62">
        <v>42</v>
      </c>
      <c r="R14" s="11">
        <v>41</v>
      </c>
      <c r="S14" s="12">
        <f>(R14-14)/(Q14-14)</f>
        <v>0.9642857142857143</v>
      </c>
      <c r="U14" s="7"/>
      <c r="V14" s="8"/>
    </row>
    <row r="15" spans="1:23" x14ac:dyDescent="0.25">
      <c r="A15" s="11"/>
      <c r="B15" s="84"/>
      <c r="C15" s="82"/>
      <c r="D15" s="71" t="s">
        <v>107</v>
      </c>
      <c r="E15" s="79">
        <f>AVERAGE(E4:E14)</f>
        <v>0.70413545454545456</v>
      </c>
      <c r="F15" s="79">
        <f t="shared" ref="F15" si="0">AVERAGE(F4:F14)</f>
        <v>0.72426090909090912</v>
      </c>
      <c r="G15" s="15">
        <f t="shared" ref="G15" si="1">AVERAGE(G4:G14)</f>
        <v>0.71419818181818173</v>
      </c>
      <c r="H15" s="79">
        <f>AVERAGE(H4:H14)</f>
        <v>0.91122454545454545</v>
      </c>
      <c r="I15" s="16">
        <f>AVERAGE(I4:I14)</f>
        <v>3418.6000000000004</v>
      </c>
      <c r="J15" s="17">
        <f>AVERAGE(J4:J14)</f>
        <v>6.6363636363636367</v>
      </c>
      <c r="K15" s="78">
        <f>AVERAGE(K4:K14)</f>
        <v>65.181818181818187</v>
      </c>
      <c r="L15" s="17">
        <f>AVERAGE(L4:L14)</f>
        <v>9.545454545454545</v>
      </c>
      <c r="M15" s="17">
        <f>AVERAGE(M4:M14)</f>
        <v>5.7727272727272725</v>
      </c>
      <c r="N15" s="76">
        <f>AVERAGE(N4:N14)</f>
        <v>38.636363636363633</v>
      </c>
      <c r="O15" s="17">
        <f>AVERAGE(O4:O14)</f>
        <v>30.818181818181817</v>
      </c>
      <c r="P15" s="15">
        <f>AVERAGE(P4:P14)</f>
        <v>0.80320406300495828</v>
      </c>
      <c r="Q15" s="17">
        <f>AVERAGE(Q4:Q14)</f>
        <v>42.454545454545453</v>
      </c>
      <c r="R15" s="17">
        <f>AVERAGE(R4:R14)</f>
        <v>39.545454545454547</v>
      </c>
      <c r="S15" s="15">
        <f>AVERAGE(S4:S14)</f>
        <v>0.90096558238243429</v>
      </c>
      <c r="U15" s="7"/>
      <c r="V15" s="8"/>
    </row>
    <row r="16" spans="1:23" x14ac:dyDescent="0.25">
      <c r="A16" s="80"/>
      <c r="B16" s="81"/>
      <c r="C16" s="82"/>
      <c r="D16" s="71" t="s">
        <v>105</v>
      </c>
      <c r="E16" s="72">
        <v>0.71406736842105278</v>
      </c>
      <c r="F16" s="72">
        <v>0.7012926315789475</v>
      </c>
      <c r="G16" s="73">
        <v>0.70768000000000009</v>
      </c>
      <c r="H16" s="72">
        <v>0.83135815789473677</v>
      </c>
      <c r="I16" s="74">
        <v>3760.0492105263156</v>
      </c>
      <c r="J16" s="76">
        <v>6</v>
      </c>
      <c r="K16" s="17">
        <v>52.315789473684212</v>
      </c>
      <c r="L16" s="75">
        <v>8.5789473684210531</v>
      </c>
      <c r="M16" s="75">
        <v>5.2894736842105265</v>
      </c>
      <c r="N16" s="77">
        <v>34.210526315789473</v>
      </c>
      <c r="O16" s="75">
        <v>27.105263157894736</v>
      </c>
      <c r="P16" s="73">
        <v>0.78950195582565663</v>
      </c>
      <c r="Q16" s="75">
        <v>40.789473684210527</v>
      </c>
      <c r="R16" s="75">
        <v>37.631578947368418</v>
      </c>
      <c r="S16" s="73">
        <v>0.85535828587040452</v>
      </c>
      <c r="U16" s="7"/>
      <c r="V16" s="8"/>
    </row>
    <row r="17" spans="1:22" x14ac:dyDescent="0.25">
      <c r="A17" s="11"/>
      <c r="B17" s="30"/>
      <c r="C17" s="31"/>
      <c r="D17" s="66"/>
      <c r="E17" s="67"/>
      <c r="F17" s="67"/>
      <c r="G17" s="68"/>
      <c r="H17" s="67"/>
      <c r="I17" s="69"/>
      <c r="J17" s="70"/>
      <c r="K17" s="70"/>
      <c r="L17" s="70"/>
      <c r="M17" s="70"/>
      <c r="N17" s="70"/>
      <c r="O17" s="70"/>
      <c r="P17" s="68"/>
      <c r="Q17" s="70"/>
      <c r="R17" s="70"/>
      <c r="S17" s="68"/>
      <c r="U17" s="7"/>
      <c r="V17" s="8"/>
    </row>
    <row r="18" spans="1:22" x14ac:dyDescent="0.25">
      <c r="A18" s="11" t="s">
        <v>104</v>
      </c>
      <c r="B18" s="30">
        <v>43553</v>
      </c>
      <c r="C18" s="31" t="s">
        <v>81</v>
      </c>
      <c r="D18" s="10" t="s">
        <v>0</v>
      </c>
      <c r="E18" s="19">
        <f>46/63</f>
        <v>0.73015873015873012</v>
      </c>
      <c r="F18" s="19">
        <f>46/63</f>
        <v>0.73015873015873012</v>
      </c>
      <c r="G18" s="20">
        <f>AVERAGE(E18:F18)</f>
        <v>0.73015873015873012</v>
      </c>
      <c r="H18" s="19">
        <f>112/128</f>
        <v>0.875</v>
      </c>
      <c r="I18" s="65">
        <v>3193.1</v>
      </c>
      <c r="J18" s="28">
        <v>5</v>
      </c>
      <c r="K18" s="11">
        <v>40</v>
      </c>
      <c r="L18" s="11">
        <v>8</v>
      </c>
      <c r="M18" s="10">
        <v>5</v>
      </c>
      <c r="N18" s="43">
        <v>42</v>
      </c>
      <c r="O18" s="43">
        <v>30</v>
      </c>
      <c r="P18" s="44">
        <f>O18/N18</f>
        <v>0.7142857142857143</v>
      </c>
      <c r="Q18" s="48">
        <v>46</v>
      </c>
      <c r="R18" s="45">
        <v>36</v>
      </c>
      <c r="S18" s="44">
        <f>(R18-14)/(Q18-14)</f>
        <v>0.6875</v>
      </c>
      <c r="U18" s="7"/>
      <c r="V18" s="8"/>
    </row>
    <row r="19" spans="1:22" x14ac:dyDescent="0.25">
      <c r="A19" s="11" t="s">
        <v>104</v>
      </c>
      <c r="B19" s="30">
        <v>43553</v>
      </c>
      <c r="C19" s="31" t="s">
        <v>82</v>
      </c>
      <c r="D19" s="10" t="s">
        <v>8</v>
      </c>
      <c r="E19" s="19">
        <f>43/63</f>
        <v>0.68253968253968256</v>
      </c>
      <c r="F19" s="19">
        <f>43/63</f>
        <v>0.68253968253968256</v>
      </c>
      <c r="G19" s="20">
        <f>AVERAGE(E19:F19)</f>
        <v>0.68253968253968256</v>
      </c>
      <c r="H19" s="19">
        <f>124/128</f>
        <v>0.96875</v>
      </c>
      <c r="I19" s="65">
        <v>2036.2</v>
      </c>
      <c r="J19" s="28">
        <v>6</v>
      </c>
      <c r="K19" s="11">
        <v>60</v>
      </c>
      <c r="L19" s="11">
        <v>10</v>
      </c>
      <c r="M19" s="10">
        <v>6</v>
      </c>
      <c r="N19" s="43">
        <v>42</v>
      </c>
      <c r="O19" s="43">
        <v>34</v>
      </c>
      <c r="P19" s="44">
        <f>O19/N19</f>
        <v>0.80952380952380953</v>
      </c>
      <c r="Q19" s="48">
        <v>42</v>
      </c>
      <c r="R19" s="43">
        <v>40</v>
      </c>
      <c r="S19" s="44">
        <f>(R19-14)/(Q19-14)</f>
        <v>0.9285714285714286</v>
      </c>
    </row>
    <row r="20" spans="1:22" x14ac:dyDescent="0.25">
      <c r="A20" s="11" t="s">
        <v>104</v>
      </c>
      <c r="B20" s="30">
        <v>43553</v>
      </c>
      <c r="C20" s="31" t="s">
        <v>71</v>
      </c>
      <c r="D20" s="10" t="s">
        <v>14</v>
      </c>
      <c r="E20" s="19">
        <f>47/63</f>
        <v>0.74603174603174605</v>
      </c>
      <c r="F20" s="9">
        <f>46/63</f>
        <v>0.73015873015873012</v>
      </c>
      <c r="G20" s="63">
        <f>AVERAGE(E20:F20)</f>
        <v>0.73809523809523814</v>
      </c>
      <c r="H20" s="34">
        <f>114/128</f>
        <v>0.890625</v>
      </c>
      <c r="I20" s="64">
        <v>2807.5</v>
      </c>
      <c r="J20" s="28">
        <v>6</v>
      </c>
      <c r="K20" s="11">
        <v>60</v>
      </c>
      <c r="L20" s="11">
        <v>10</v>
      </c>
      <c r="M20" s="10">
        <v>6</v>
      </c>
      <c r="N20" s="43">
        <v>39</v>
      </c>
      <c r="O20" s="43">
        <v>29</v>
      </c>
      <c r="P20" s="44">
        <f>O20/N20</f>
        <v>0.74358974358974361</v>
      </c>
      <c r="Q20" s="48">
        <v>43</v>
      </c>
      <c r="R20" s="43">
        <v>41</v>
      </c>
      <c r="S20" s="44">
        <f>(R20-14)/(Q20-14)</f>
        <v>0.93103448275862066</v>
      </c>
      <c r="U20" s="7"/>
      <c r="V20" s="8"/>
    </row>
    <row r="21" spans="1:22" x14ac:dyDescent="0.25">
      <c r="A21" s="11" t="s">
        <v>104</v>
      </c>
      <c r="B21" s="30">
        <v>43553</v>
      </c>
      <c r="C21" s="31" t="s">
        <v>83</v>
      </c>
      <c r="D21" s="10" t="s">
        <v>17</v>
      </c>
      <c r="E21" s="19">
        <f>50/63</f>
        <v>0.79365079365079361</v>
      </c>
      <c r="F21" s="19">
        <f>47/63</f>
        <v>0.74603174603174605</v>
      </c>
      <c r="G21" s="20">
        <f>AVERAGE(E21:F21)</f>
        <v>0.76984126984126977</v>
      </c>
      <c r="H21" s="19">
        <f>117/128</f>
        <v>0.9140625</v>
      </c>
      <c r="I21" s="64">
        <v>2004.3</v>
      </c>
      <c r="J21" s="28">
        <v>6</v>
      </c>
      <c r="K21" s="11">
        <v>60</v>
      </c>
      <c r="L21" s="11">
        <v>10</v>
      </c>
      <c r="M21" s="10">
        <v>6</v>
      </c>
      <c r="N21" s="43">
        <v>38</v>
      </c>
      <c r="O21" s="43">
        <v>28</v>
      </c>
      <c r="P21" s="44">
        <f>O21/N21</f>
        <v>0.73684210526315785</v>
      </c>
      <c r="Q21" s="48">
        <v>43</v>
      </c>
      <c r="R21" s="43">
        <v>42</v>
      </c>
      <c r="S21" s="44">
        <f>(R21-14)/(Q21-14)</f>
        <v>0.96551724137931039</v>
      </c>
    </row>
    <row r="22" spans="1:22" x14ac:dyDescent="0.25">
      <c r="A22" s="11" t="s">
        <v>104</v>
      </c>
      <c r="B22" s="30">
        <v>43553</v>
      </c>
      <c r="C22" s="31" t="s">
        <v>84</v>
      </c>
      <c r="D22" s="10" t="s">
        <v>19</v>
      </c>
      <c r="E22" s="19">
        <f>47/63</f>
        <v>0.74603174603174605</v>
      </c>
      <c r="F22" s="19">
        <f>49/63</f>
        <v>0.77777777777777779</v>
      </c>
      <c r="G22" s="20">
        <f>AVERAGE(E22:F22)</f>
        <v>0.76190476190476186</v>
      </c>
      <c r="H22" s="19">
        <f>124/128</f>
        <v>0.96875</v>
      </c>
      <c r="I22" s="64">
        <v>2350.8000000000002</v>
      </c>
      <c r="J22" s="28">
        <v>8</v>
      </c>
      <c r="K22" s="11">
        <v>80</v>
      </c>
      <c r="L22" s="11">
        <v>10</v>
      </c>
      <c r="M22" s="10">
        <v>6</v>
      </c>
      <c r="N22" s="43">
        <v>38</v>
      </c>
      <c r="O22" s="43">
        <v>30</v>
      </c>
      <c r="P22" s="44">
        <f>O22/N22</f>
        <v>0.78947368421052633</v>
      </c>
      <c r="Q22" s="48">
        <v>46</v>
      </c>
      <c r="R22" s="43">
        <v>46</v>
      </c>
      <c r="S22" s="44">
        <f>(R22-14)/(Q22-14)</f>
        <v>1</v>
      </c>
    </row>
    <row r="23" spans="1:22" x14ac:dyDescent="0.25">
      <c r="A23" s="11" t="s">
        <v>104</v>
      </c>
      <c r="B23" s="30">
        <v>43553</v>
      </c>
      <c r="C23" s="31" t="s">
        <v>85</v>
      </c>
      <c r="D23" s="10" t="s">
        <v>23</v>
      </c>
      <c r="E23" s="19">
        <f>43/63</f>
        <v>0.68253968253968256</v>
      </c>
      <c r="F23" s="19">
        <f>44/63</f>
        <v>0.69841269841269837</v>
      </c>
      <c r="G23" s="20">
        <f>AVERAGE(E23:F23)</f>
        <v>0.69047619047619047</v>
      </c>
      <c r="H23" s="19">
        <f>103/128</f>
        <v>0.8046875</v>
      </c>
      <c r="I23" s="27">
        <v>2122.1999999999998</v>
      </c>
      <c r="J23" s="28">
        <v>8</v>
      </c>
      <c r="K23" s="11">
        <v>96</v>
      </c>
      <c r="L23" s="11">
        <v>12</v>
      </c>
      <c r="M23" s="10">
        <v>7</v>
      </c>
      <c r="N23" s="43">
        <v>42</v>
      </c>
      <c r="O23" s="43">
        <v>29</v>
      </c>
      <c r="P23" s="44">
        <f>O23/N23</f>
        <v>0.69047619047619047</v>
      </c>
      <c r="Q23" s="48">
        <v>46</v>
      </c>
      <c r="R23" s="43">
        <v>39</v>
      </c>
      <c r="S23" s="44">
        <f>(R23-14)/(Q23-14)</f>
        <v>0.78125</v>
      </c>
    </row>
    <row r="24" spans="1:22" x14ac:dyDescent="0.25">
      <c r="A24" s="11" t="s">
        <v>104</v>
      </c>
      <c r="B24" s="30">
        <v>43552</v>
      </c>
      <c r="C24" s="31" t="s">
        <v>86</v>
      </c>
      <c r="D24" s="10" t="s">
        <v>25</v>
      </c>
      <c r="E24" s="19">
        <f>45/63</f>
        <v>0.7142857142857143</v>
      </c>
      <c r="F24" s="19">
        <f>45/63</f>
        <v>0.7142857142857143</v>
      </c>
      <c r="G24" s="20">
        <f>AVERAGE(E24:F24)</f>
        <v>0.7142857142857143</v>
      </c>
      <c r="H24" s="60">
        <f>97/128</f>
        <v>0.7578125</v>
      </c>
      <c r="I24" s="35">
        <v>1588.93</v>
      </c>
      <c r="J24" s="28">
        <v>6</v>
      </c>
      <c r="K24" s="11">
        <v>48</v>
      </c>
      <c r="L24" s="11">
        <v>8</v>
      </c>
      <c r="M24" s="10">
        <v>5</v>
      </c>
      <c r="N24" s="43">
        <v>42</v>
      </c>
      <c r="O24" s="43">
        <v>34</v>
      </c>
      <c r="P24" s="47">
        <f>O24/N24</f>
        <v>0.80952380952380953</v>
      </c>
      <c r="Q24" s="48">
        <v>42</v>
      </c>
      <c r="R24" s="43">
        <v>38</v>
      </c>
      <c r="S24" s="44">
        <f>(R24-14)/(Q24-14)</f>
        <v>0.8571428571428571</v>
      </c>
    </row>
    <row r="25" spans="1:22" x14ac:dyDescent="0.25">
      <c r="A25" s="11" t="s">
        <v>104</v>
      </c>
      <c r="B25" s="30">
        <v>43552</v>
      </c>
      <c r="C25" s="31" t="s">
        <v>87</v>
      </c>
      <c r="D25" s="10" t="s">
        <v>38</v>
      </c>
      <c r="E25" s="19">
        <f>43/63</f>
        <v>0.68253968253968256</v>
      </c>
      <c r="F25" s="19">
        <f>48/63</f>
        <v>0.76190476190476186</v>
      </c>
      <c r="G25" s="20">
        <f>AVERAGE(E25:F25)</f>
        <v>0.72222222222222221</v>
      </c>
      <c r="H25" s="19">
        <f>118/128</f>
        <v>0.921875</v>
      </c>
      <c r="I25" s="27">
        <v>1577.67</v>
      </c>
      <c r="J25" s="28">
        <v>8</v>
      </c>
      <c r="K25" s="11">
        <v>80</v>
      </c>
      <c r="L25" s="11">
        <v>10</v>
      </c>
      <c r="M25" s="10">
        <v>6</v>
      </c>
      <c r="N25" s="43">
        <v>42</v>
      </c>
      <c r="O25" s="43">
        <v>33</v>
      </c>
      <c r="P25" s="44">
        <f>O25/N25</f>
        <v>0.7857142857142857</v>
      </c>
      <c r="Q25" s="48">
        <v>46</v>
      </c>
      <c r="R25" s="43">
        <v>40</v>
      </c>
      <c r="S25" s="44">
        <f>(R25-14)/(Q25-14)</f>
        <v>0.8125</v>
      </c>
    </row>
    <row r="26" spans="1:22" x14ac:dyDescent="0.25">
      <c r="A26" s="11" t="s">
        <v>104</v>
      </c>
      <c r="B26" s="30">
        <v>43553</v>
      </c>
      <c r="C26" s="31" t="s">
        <v>88</v>
      </c>
      <c r="D26" s="10" t="s">
        <v>44</v>
      </c>
      <c r="E26" s="19">
        <f>43/63</f>
        <v>0.68253968253968256</v>
      </c>
      <c r="F26" s="19">
        <f>44/63</f>
        <v>0.69841269841269837</v>
      </c>
      <c r="G26" s="20">
        <f>AVERAGE(E26:F26)</f>
        <v>0.69047619047619047</v>
      </c>
      <c r="H26" s="19">
        <f>123/128</f>
        <v>0.9609375</v>
      </c>
      <c r="I26" s="27">
        <v>5287.95</v>
      </c>
      <c r="J26" s="28">
        <v>5</v>
      </c>
      <c r="K26" s="11">
        <v>40</v>
      </c>
      <c r="L26" s="11">
        <v>8</v>
      </c>
      <c r="M26" s="10">
        <v>5</v>
      </c>
      <c r="N26" s="43">
        <v>32</v>
      </c>
      <c r="O26" s="43">
        <v>28</v>
      </c>
      <c r="P26" s="44">
        <f>O26/N26</f>
        <v>0.875</v>
      </c>
      <c r="Q26" s="46">
        <v>39</v>
      </c>
      <c r="R26" s="46">
        <v>38</v>
      </c>
      <c r="S26" s="44">
        <f>(R26-14)/(Q26-14)</f>
        <v>0.96</v>
      </c>
    </row>
    <row r="27" spans="1:22" x14ac:dyDescent="0.25">
      <c r="A27" s="11" t="s">
        <v>104</v>
      </c>
      <c r="B27" s="30">
        <v>43552</v>
      </c>
      <c r="C27" s="31" t="s">
        <v>90</v>
      </c>
      <c r="D27" s="10" t="s">
        <v>45</v>
      </c>
      <c r="E27" s="19">
        <f>41/63</f>
        <v>0.65079365079365081</v>
      </c>
      <c r="F27" s="19">
        <f>47/63</f>
        <v>0.74603174603174605</v>
      </c>
      <c r="G27" s="20">
        <f>AVERAGE(E27:F27)</f>
        <v>0.69841269841269837</v>
      </c>
      <c r="H27" s="19">
        <f>125/128</f>
        <v>0.9765625</v>
      </c>
      <c r="I27" s="36">
        <v>1920.85</v>
      </c>
      <c r="J27" s="28">
        <v>6</v>
      </c>
      <c r="K27" s="11">
        <v>54</v>
      </c>
      <c r="L27" s="11">
        <v>9</v>
      </c>
      <c r="M27" s="10">
        <v>5.5</v>
      </c>
      <c r="N27" s="43">
        <v>42</v>
      </c>
      <c r="O27" s="43">
        <v>31</v>
      </c>
      <c r="P27" s="44">
        <f>O27/N27</f>
        <v>0.73809523809523814</v>
      </c>
      <c r="Q27" s="48">
        <v>46</v>
      </c>
      <c r="R27" s="43">
        <v>40</v>
      </c>
      <c r="S27" s="44">
        <f>(R27-14)/(Q27-14)</f>
        <v>0.8125</v>
      </c>
    </row>
    <row r="28" spans="1:22" x14ac:dyDescent="0.25">
      <c r="A28" s="11" t="s">
        <v>104</v>
      </c>
      <c r="B28" s="30">
        <v>43553</v>
      </c>
      <c r="C28" s="31" t="s">
        <v>89</v>
      </c>
      <c r="D28" s="10" t="s">
        <v>48</v>
      </c>
      <c r="E28" s="19">
        <f>48/63</f>
        <v>0.76190476190476186</v>
      </c>
      <c r="F28" s="19">
        <f>48/63</f>
        <v>0.76190476190476186</v>
      </c>
      <c r="G28" s="20">
        <f>AVERAGE(E28:F28)</f>
        <v>0.76190476190476186</v>
      </c>
      <c r="H28" s="19">
        <f>123/128</f>
        <v>0.9609375</v>
      </c>
      <c r="I28" s="27">
        <v>2527.6999999999998</v>
      </c>
      <c r="J28" s="28">
        <v>8</v>
      </c>
      <c r="K28" s="11">
        <v>96</v>
      </c>
      <c r="L28" s="11">
        <v>12</v>
      </c>
      <c r="M28" s="10">
        <v>7</v>
      </c>
      <c r="N28" s="43">
        <v>42</v>
      </c>
      <c r="O28" s="43">
        <v>35</v>
      </c>
      <c r="P28" s="44">
        <f>O28/N28</f>
        <v>0.83333333333333337</v>
      </c>
      <c r="Q28" s="48">
        <v>46</v>
      </c>
      <c r="R28" s="43">
        <v>44</v>
      </c>
      <c r="S28" s="44">
        <f>(R28-14)/(Q28-14)</f>
        <v>0.9375</v>
      </c>
    </row>
    <row r="29" spans="1:22" x14ac:dyDescent="0.25">
      <c r="A29" s="11"/>
      <c r="B29" s="30"/>
      <c r="C29" s="83"/>
      <c r="D29" s="71" t="s">
        <v>106</v>
      </c>
      <c r="E29" s="15">
        <f>AVERAGE(E18:E28)</f>
        <v>0.71572871572871577</v>
      </c>
      <c r="F29" s="15">
        <f t="shared" ref="F29:G29" si="2">AVERAGE(F18:F28)</f>
        <v>0.73160173160173159</v>
      </c>
      <c r="G29" s="15">
        <f t="shared" si="2"/>
        <v>0.72366522366522368</v>
      </c>
      <c r="H29" s="15">
        <f>AVERAGE(H18:H28)</f>
        <v>0.90909090909090906</v>
      </c>
      <c r="I29" s="16">
        <f>AVERAGE(I18:I28)</f>
        <v>2492.4727272727278</v>
      </c>
      <c r="J29" s="17">
        <f>AVERAGE(J18:J28)</f>
        <v>6.5454545454545459</v>
      </c>
      <c r="K29" s="17">
        <f>AVERAGE(K18:K28)</f>
        <v>64.909090909090907</v>
      </c>
      <c r="L29" s="17">
        <f>AVERAGE(L18:L28)</f>
        <v>9.7272727272727266</v>
      </c>
      <c r="M29" s="17">
        <f>AVERAGE(M18:M28)</f>
        <v>5.8636363636363633</v>
      </c>
      <c r="N29" s="17">
        <f>AVERAGE(N18:N28)</f>
        <v>40.090909090909093</v>
      </c>
      <c r="O29" s="17">
        <f>AVERAGE(O18:O28)</f>
        <v>31</v>
      </c>
      <c r="P29" s="15">
        <f>AVERAGE(P18:P28)</f>
        <v>0.77507799218325535</v>
      </c>
      <c r="Q29" s="17">
        <f>AVERAGE(Q18:Q28)</f>
        <v>44.090909090909093</v>
      </c>
      <c r="R29" s="17">
        <f>AVERAGE(R18:R28)</f>
        <v>40.363636363636367</v>
      </c>
      <c r="S29" s="15">
        <f>AVERAGE(S18:S28)</f>
        <v>0.87941054635020144</v>
      </c>
    </row>
    <row r="30" spans="1:22" x14ac:dyDescent="0.25">
      <c r="A30" s="11"/>
      <c r="B30" s="30"/>
      <c r="C30" s="31"/>
      <c r="D30" s="10"/>
    </row>
  </sheetData>
  <sortState xmlns:xlrd2="http://schemas.microsoft.com/office/spreadsheetml/2017/richdata2" ref="A4:S28">
    <sortCondition ref="A4:A28"/>
    <sortCondition ref="D4:D28"/>
  </sortState>
  <mergeCells count="11">
    <mergeCell ref="U2:V2"/>
    <mergeCell ref="E1:G1"/>
    <mergeCell ref="H1:I1"/>
    <mergeCell ref="J1:M1"/>
    <mergeCell ref="N1:P1"/>
    <mergeCell ref="Q1:S1"/>
    <mergeCell ref="E2:G2"/>
    <mergeCell ref="N2:P2"/>
    <mergeCell ref="J2:M2"/>
    <mergeCell ref="H2:I2"/>
    <mergeCell ref="Q2:S2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E84B-A78B-4D6D-804D-6D56DB433221}">
  <dimension ref="A3:M14"/>
  <sheetViews>
    <sheetView zoomScale="90" zoomScaleNormal="90" workbookViewId="0">
      <selection activeCell="D3" sqref="D3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8" width="7.5703125" bestFit="1" customWidth="1"/>
    <col min="9" max="9" width="7.5703125" customWidth="1"/>
    <col min="10" max="12" width="7.5703125" bestFit="1" customWidth="1"/>
    <col min="13" max="13" width="11.28515625" bestFit="1" customWidth="1"/>
  </cols>
  <sheetData>
    <row r="3" spans="1:13" x14ac:dyDescent="0.25">
      <c r="A3" s="29" t="s">
        <v>60</v>
      </c>
      <c r="B3" s="29" t="s">
        <v>57</v>
      </c>
    </row>
    <row r="4" spans="1:13" x14ac:dyDescent="0.25">
      <c r="A4" s="29" t="s">
        <v>59</v>
      </c>
      <c r="B4" t="s">
        <v>0</v>
      </c>
      <c r="C4" t="s">
        <v>8</v>
      </c>
      <c r="D4" t="s">
        <v>14</v>
      </c>
      <c r="E4" t="s">
        <v>17</v>
      </c>
      <c r="F4" t="s">
        <v>19</v>
      </c>
      <c r="G4" t="s">
        <v>23</v>
      </c>
      <c r="H4" t="s">
        <v>25</v>
      </c>
      <c r="I4" t="s">
        <v>38</v>
      </c>
      <c r="J4" t="s">
        <v>44</v>
      </c>
      <c r="K4" t="s">
        <v>45</v>
      </c>
      <c r="L4" t="s">
        <v>48</v>
      </c>
      <c r="M4" t="s">
        <v>58</v>
      </c>
    </row>
    <row r="5" spans="1:13" x14ac:dyDescent="0.25">
      <c r="A5" s="25" t="s">
        <v>103</v>
      </c>
      <c r="B5" s="50">
        <v>0.72219999999999995</v>
      </c>
      <c r="C5" s="50">
        <v>0.73799999999999999</v>
      </c>
      <c r="D5" s="50">
        <v>0.70599999999999996</v>
      </c>
      <c r="E5" s="50">
        <v>0.72225000000000006</v>
      </c>
      <c r="F5" s="50">
        <v>0.73799999999999999</v>
      </c>
      <c r="G5" s="50">
        <v>0.69850000000000001</v>
      </c>
      <c r="H5" s="50">
        <v>0.71399999999999997</v>
      </c>
      <c r="I5" s="50">
        <v>0.66649999999999998</v>
      </c>
      <c r="J5" s="50">
        <v>0.76190000000000002</v>
      </c>
      <c r="K5" s="50">
        <v>0.62697999999999998</v>
      </c>
      <c r="L5" s="50">
        <v>0.76184999999999992</v>
      </c>
      <c r="M5" s="50">
        <v>0.71419818181818173</v>
      </c>
    </row>
    <row r="6" spans="1:13" x14ac:dyDescent="0.25">
      <c r="A6" s="25" t="s">
        <v>104</v>
      </c>
      <c r="B6" s="50">
        <v>0.73015873015873012</v>
      </c>
      <c r="C6" s="50">
        <v>0.68253968253968256</v>
      </c>
      <c r="D6" s="50">
        <v>0.73809523809523814</v>
      </c>
      <c r="E6" s="50">
        <v>0.76984126984126977</v>
      </c>
      <c r="F6" s="50">
        <v>0.76190476190476186</v>
      </c>
      <c r="G6" s="50">
        <v>0.69047619047619047</v>
      </c>
      <c r="H6" s="50">
        <v>0.7142857142857143</v>
      </c>
      <c r="I6" s="50">
        <v>0.72222222222222221</v>
      </c>
      <c r="J6" s="50">
        <v>0.69047619047619047</v>
      </c>
      <c r="K6" s="50">
        <v>0.69841269841269837</v>
      </c>
      <c r="L6" s="50">
        <v>0.76190476190476186</v>
      </c>
      <c r="M6" s="50">
        <v>0.72366522366522368</v>
      </c>
    </row>
    <row r="7" spans="1:13" x14ac:dyDescent="0.25">
      <c r="A7" s="25" t="s">
        <v>58</v>
      </c>
      <c r="B7" s="50">
        <v>0.72617936507936509</v>
      </c>
      <c r="C7" s="50">
        <v>0.71026984126984127</v>
      </c>
      <c r="D7" s="50">
        <v>0.72204761904761905</v>
      </c>
      <c r="E7" s="50">
        <v>0.74604563492063491</v>
      </c>
      <c r="F7" s="50">
        <v>0.74995238095238093</v>
      </c>
      <c r="G7" s="50">
        <v>0.69448809523809518</v>
      </c>
      <c r="H7" s="50">
        <v>0.71414285714285719</v>
      </c>
      <c r="I7" s="50">
        <v>0.6943611111111111</v>
      </c>
      <c r="J7" s="50">
        <v>0.72618809523809524</v>
      </c>
      <c r="K7" s="50">
        <v>0.66269634920634912</v>
      </c>
      <c r="L7" s="50">
        <v>0.76187738095238089</v>
      </c>
      <c r="M7" s="50">
        <v>0.71893170274170271</v>
      </c>
    </row>
    <row r="14" spans="1:13" x14ac:dyDescent="0.25">
      <c r="J14" t="s">
        <v>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714B-8B6E-479B-B746-F7EAFAD05759}">
  <dimension ref="A3:M16"/>
  <sheetViews>
    <sheetView topLeftCell="A6" workbookViewId="0">
      <selection activeCell="C7" sqref="C7"/>
    </sheetView>
  </sheetViews>
  <sheetFormatPr defaultRowHeight="15" x14ac:dyDescent="0.25"/>
  <cols>
    <col min="1" max="1" width="26" bestFit="1" customWidth="1"/>
    <col min="2" max="2" width="16.28515625" bestFit="1" customWidth="1"/>
    <col min="3" max="12" width="7.28515625" bestFit="1" customWidth="1"/>
    <col min="13" max="13" width="11.28515625" bestFit="1" customWidth="1"/>
  </cols>
  <sheetData>
    <row r="3" spans="1:13" x14ac:dyDescent="0.25">
      <c r="A3" s="29" t="s">
        <v>61</v>
      </c>
      <c r="B3" s="29" t="s">
        <v>57</v>
      </c>
    </row>
    <row r="4" spans="1:13" x14ac:dyDescent="0.25">
      <c r="A4" s="29" t="s">
        <v>59</v>
      </c>
      <c r="B4" t="s">
        <v>0</v>
      </c>
      <c r="C4" t="s">
        <v>8</v>
      </c>
      <c r="D4" t="s">
        <v>14</v>
      </c>
      <c r="E4" t="s">
        <v>17</v>
      </c>
      <c r="F4" t="s">
        <v>19</v>
      </c>
      <c r="G4" t="s">
        <v>23</v>
      </c>
      <c r="H4" t="s">
        <v>25</v>
      </c>
      <c r="I4" t="s">
        <v>38</v>
      </c>
      <c r="J4" t="s">
        <v>44</v>
      </c>
      <c r="K4" t="s">
        <v>45</v>
      </c>
      <c r="L4" t="s">
        <v>48</v>
      </c>
      <c r="M4" t="s">
        <v>58</v>
      </c>
    </row>
    <row r="5" spans="1:13" x14ac:dyDescent="0.25">
      <c r="A5" s="25" t="s">
        <v>103</v>
      </c>
      <c r="B5" s="6">
        <v>4052</v>
      </c>
      <c r="C5" s="6">
        <v>2580</v>
      </c>
      <c r="D5" s="6">
        <v>3752</v>
      </c>
      <c r="E5" s="6">
        <v>2965</v>
      </c>
      <c r="F5" s="6">
        <v>2507</v>
      </c>
      <c r="G5" s="6">
        <v>3057</v>
      </c>
      <c r="H5" s="6">
        <v>2376</v>
      </c>
      <c r="I5" s="6">
        <v>1933.9</v>
      </c>
      <c r="J5" s="6">
        <v>8255.6200000000008</v>
      </c>
      <c r="K5" s="6">
        <v>2430.1799999999998</v>
      </c>
      <c r="L5" s="6">
        <v>3695.9</v>
      </c>
      <c r="M5" s="6">
        <v>3418.6000000000004</v>
      </c>
    </row>
    <row r="6" spans="1:13" x14ac:dyDescent="0.25">
      <c r="A6" s="25" t="s">
        <v>104</v>
      </c>
      <c r="B6" s="6">
        <v>3193.1</v>
      </c>
      <c r="C6" s="6">
        <v>2036.2</v>
      </c>
      <c r="D6" s="6">
        <v>2807.5</v>
      </c>
      <c r="E6" s="6">
        <v>2004.3</v>
      </c>
      <c r="F6" s="6">
        <v>2350.8000000000002</v>
      </c>
      <c r="G6" s="6">
        <v>2122.1999999999998</v>
      </c>
      <c r="H6" s="6">
        <v>1588.93</v>
      </c>
      <c r="I6" s="6">
        <v>1577.67</v>
      </c>
      <c r="J6" s="6">
        <v>5287.95</v>
      </c>
      <c r="K6" s="6">
        <v>1920.85</v>
      </c>
      <c r="L6" s="6">
        <v>2527.6999999999998</v>
      </c>
      <c r="M6" s="6">
        <v>2492.4727272727278</v>
      </c>
    </row>
    <row r="7" spans="1:13" x14ac:dyDescent="0.25">
      <c r="A7" s="25" t="s">
        <v>58</v>
      </c>
      <c r="B7" s="6">
        <v>3622.55</v>
      </c>
      <c r="C7" s="6">
        <v>2308.1</v>
      </c>
      <c r="D7" s="6">
        <v>3279.75</v>
      </c>
      <c r="E7" s="6">
        <v>2484.65</v>
      </c>
      <c r="F7" s="6">
        <v>2428.9</v>
      </c>
      <c r="G7" s="6">
        <v>2589.6</v>
      </c>
      <c r="H7" s="6">
        <v>1982.4650000000001</v>
      </c>
      <c r="I7" s="6">
        <v>1755.7850000000001</v>
      </c>
      <c r="J7" s="6">
        <v>6771.7849999999999</v>
      </c>
      <c r="K7" s="6">
        <v>2175.5149999999999</v>
      </c>
      <c r="L7" s="6">
        <v>3111.8</v>
      </c>
      <c r="M7" s="6">
        <v>2955.5363636363641</v>
      </c>
    </row>
    <row r="14" spans="1:13" x14ac:dyDescent="0.25">
      <c r="K14" t="s">
        <v>102</v>
      </c>
    </row>
    <row r="15" spans="1:13" x14ac:dyDescent="0.25">
      <c r="K15" t="s">
        <v>96</v>
      </c>
    </row>
    <row r="16" spans="1:13" x14ac:dyDescent="0.25">
      <c r="K16" t="s">
        <v>101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A444-3064-4266-9562-90514FDC74A5}">
  <dimension ref="A3:M13"/>
  <sheetViews>
    <sheetView topLeftCell="A5" workbookViewId="0">
      <selection activeCell="G7" sqref="G7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12" width="7.28515625" bestFit="1" customWidth="1"/>
    <col min="13" max="13" width="11.28515625" bestFit="1" customWidth="1"/>
    <col min="14" max="14" width="17.5703125" bestFit="1" customWidth="1"/>
    <col min="15" max="15" width="20.140625" bestFit="1" customWidth="1"/>
    <col min="16" max="16" width="17.5703125" bestFit="1" customWidth="1"/>
    <col min="17" max="17" width="20.140625" bestFit="1" customWidth="1"/>
    <col min="18" max="18" width="17.5703125" bestFit="1" customWidth="1"/>
    <col min="19" max="19" width="20.140625" bestFit="1" customWidth="1"/>
    <col min="20" max="20" width="17.5703125" bestFit="1" customWidth="1"/>
    <col min="21" max="21" width="20.140625" bestFit="1" customWidth="1"/>
    <col min="22" max="22" width="17.5703125" bestFit="1" customWidth="1"/>
    <col min="23" max="23" width="20.140625" bestFit="1" customWidth="1"/>
    <col min="24" max="24" width="22.5703125" bestFit="1" customWidth="1"/>
    <col min="25" max="25" width="25.140625" bestFit="1" customWidth="1"/>
  </cols>
  <sheetData>
    <row r="3" spans="1:13" x14ac:dyDescent="0.25">
      <c r="A3" s="29" t="s">
        <v>93</v>
      </c>
      <c r="B3" s="29" t="s">
        <v>57</v>
      </c>
    </row>
    <row r="4" spans="1:13" x14ac:dyDescent="0.25">
      <c r="A4" s="29" t="s">
        <v>59</v>
      </c>
      <c r="B4" t="s">
        <v>0</v>
      </c>
      <c r="C4" t="s">
        <v>8</v>
      </c>
      <c r="D4" t="s">
        <v>14</v>
      </c>
      <c r="E4" t="s">
        <v>17</v>
      </c>
      <c r="F4" t="s">
        <v>19</v>
      </c>
      <c r="G4" t="s">
        <v>23</v>
      </c>
      <c r="H4" t="s">
        <v>25</v>
      </c>
      <c r="I4" t="s">
        <v>38</v>
      </c>
      <c r="J4" t="s">
        <v>44</v>
      </c>
      <c r="K4" t="s">
        <v>45</v>
      </c>
      <c r="L4" t="s">
        <v>48</v>
      </c>
      <c r="M4" t="s">
        <v>58</v>
      </c>
    </row>
    <row r="5" spans="1:13" x14ac:dyDescent="0.25">
      <c r="A5" s="25" t="s">
        <v>103</v>
      </c>
      <c r="B5" s="49">
        <v>4.5</v>
      </c>
      <c r="C5" s="49">
        <v>6.5</v>
      </c>
      <c r="D5" s="49">
        <v>5.5</v>
      </c>
      <c r="E5" s="49">
        <v>6</v>
      </c>
      <c r="F5" s="49">
        <v>6</v>
      </c>
      <c r="G5" s="49">
        <v>6</v>
      </c>
      <c r="H5" s="49">
        <v>5</v>
      </c>
      <c r="I5" s="49">
        <v>5.5</v>
      </c>
      <c r="J5" s="49">
        <v>5.5</v>
      </c>
      <c r="K5" s="49">
        <v>5</v>
      </c>
      <c r="L5" s="49">
        <v>8</v>
      </c>
      <c r="M5" s="49">
        <v>63.5</v>
      </c>
    </row>
    <row r="6" spans="1:13" x14ac:dyDescent="0.25">
      <c r="A6" s="25" t="s">
        <v>104</v>
      </c>
      <c r="B6" s="49">
        <v>5</v>
      </c>
      <c r="C6" s="49">
        <v>6</v>
      </c>
      <c r="D6" s="49">
        <v>6</v>
      </c>
      <c r="E6" s="49">
        <v>6</v>
      </c>
      <c r="F6" s="49">
        <v>6</v>
      </c>
      <c r="G6" s="49">
        <v>7</v>
      </c>
      <c r="H6" s="49">
        <v>5</v>
      </c>
      <c r="I6" s="49">
        <v>6</v>
      </c>
      <c r="J6" s="49">
        <v>5</v>
      </c>
      <c r="K6" s="49">
        <v>5.5</v>
      </c>
      <c r="L6" s="49">
        <v>7</v>
      </c>
      <c r="M6" s="49">
        <v>64.5</v>
      </c>
    </row>
    <row r="7" spans="1:13" x14ac:dyDescent="0.25">
      <c r="A7" s="25" t="s">
        <v>58</v>
      </c>
      <c r="B7" s="49">
        <v>9.5</v>
      </c>
      <c r="C7" s="49">
        <v>12.5</v>
      </c>
      <c r="D7" s="49">
        <v>11.5</v>
      </c>
      <c r="E7" s="49">
        <v>12</v>
      </c>
      <c r="F7" s="49">
        <v>12</v>
      </c>
      <c r="G7" s="49">
        <v>13</v>
      </c>
      <c r="H7" s="49">
        <v>10</v>
      </c>
      <c r="I7" s="49">
        <v>11.5</v>
      </c>
      <c r="J7" s="49">
        <v>10.5</v>
      </c>
      <c r="K7" s="49">
        <v>10.5</v>
      </c>
      <c r="L7" s="49">
        <v>15</v>
      </c>
      <c r="M7" s="49">
        <v>128</v>
      </c>
    </row>
    <row r="12" spans="1:13" x14ac:dyDescent="0.25">
      <c r="J12" t="s">
        <v>92</v>
      </c>
    </row>
    <row r="13" spans="1:13" x14ac:dyDescent="0.25">
      <c r="J13" t="s">
        <v>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02C7-85B1-4D7A-A6DD-4099BDC599DE}">
  <dimension ref="A3:M12"/>
  <sheetViews>
    <sheetView workbookViewId="0">
      <selection activeCell="H6" sqref="H6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12" width="7.28515625" bestFit="1" customWidth="1"/>
    <col min="13" max="13" width="11.28515625" bestFit="1" customWidth="1"/>
    <col min="14" max="14" width="16.5703125" bestFit="1" customWidth="1"/>
    <col min="15" max="15" width="15.42578125" bestFit="1" customWidth="1"/>
    <col min="16" max="16" width="16.5703125" bestFit="1" customWidth="1"/>
    <col min="17" max="17" width="15.42578125" bestFit="1" customWidth="1"/>
    <col min="18" max="18" width="16.5703125" bestFit="1" customWidth="1"/>
    <col min="19" max="19" width="15.42578125" bestFit="1" customWidth="1"/>
    <col min="20" max="20" width="16.5703125" bestFit="1" customWidth="1"/>
    <col min="21" max="21" width="15.42578125" bestFit="1" customWidth="1"/>
    <col min="22" max="22" width="16.5703125" bestFit="1" customWidth="1"/>
    <col min="23" max="23" width="15.42578125" bestFit="1" customWidth="1"/>
    <col min="24" max="24" width="21.7109375" bestFit="1" customWidth="1"/>
    <col min="25" max="25" width="20.42578125" bestFit="1" customWidth="1"/>
  </cols>
  <sheetData>
    <row r="3" spans="1:13" x14ac:dyDescent="0.25">
      <c r="A3" s="29" t="s">
        <v>97</v>
      </c>
      <c r="B3" s="29" t="s">
        <v>57</v>
      </c>
    </row>
    <row r="4" spans="1:13" x14ac:dyDescent="0.25">
      <c r="A4" s="29" t="s">
        <v>59</v>
      </c>
      <c r="B4" t="s">
        <v>0</v>
      </c>
      <c r="C4" t="s">
        <v>8</v>
      </c>
      <c r="D4" t="s">
        <v>14</v>
      </c>
      <c r="E4" t="s">
        <v>17</v>
      </c>
      <c r="F4" t="s">
        <v>19</v>
      </c>
      <c r="G4" t="s">
        <v>23</v>
      </c>
      <c r="H4" t="s">
        <v>25</v>
      </c>
      <c r="I4" t="s">
        <v>38</v>
      </c>
      <c r="J4" t="s">
        <v>44</v>
      </c>
      <c r="K4" t="s">
        <v>45</v>
      </c>
      <c r="L4" t="s">
        <v>48</v>
      </c>
      <c r="M4" t="s">
        <v>58</v>
      </c>
    </row>
    <row r="5" spans="1:13" x14ac:dyDescent="0.25">
      <c r="A5" s="25" t="s">
        <v>103</v>
      </c>
      <c r="B5" s="50">
        <v>0.78947368421052633</v>
      </c>
      <c r="C5" s="50">
        <v>0.97435897435897434</v>
      </c>
      <c r="D5" s="50">
        <v>0.90909090909090906</v>
      </c>
      <c r="E5" s="50">
        <v>0.75</v>
      </c>
      <c r="F5" s="50">
        <v>0.86842105263157898</v>
      </c>
      <c r="G5" s="50">
        <v>0.73809523809523814</v>
      </c>
      <c r="H5" s="50">
        <v>0.73809523809523814</v>
      </c>
      <c r="I5" s="50">
        <v>0.7142857142857143</v>
      </c>
      <c r="J5" s="50">
        <v>0.87096774193548387</v>
      </c>
      <c r="K5" s="50">
        <v>0.66666666666666663</v>
      </c>
      <c r="L5" s="50">
        <v>0.81578947368421051</v>
      </c>
      <c r="M5" s="50">
        <v>8.8352446930545412</v>
      </c>
    </row>
    <row r="6" spans="1:13" x14ac:dyDescent="0.25">
      <c r="A6" s="25" t="s">
        <v>104</v>
      </c>
      <c r="B6" s="50">
        <v>0.7142857142857143</v>
      </c>
      <c r="C6" s="50">
        <v>0.80952380952380953</v>
      </c>
      <c r="D6" s="50">
        <v>0.74358974358974361</v>
      </c>
      <c r="E6" s="50">
        <v>0.73684210526315785</v>
      </c>
      <c r="F6" s="50">
        <v>0.78947368421052633</v>
      </c>
      <c r="G6" s="50">
        <v>0.69047619047619047</v>
      </c>
      <c r="H6" s="50">
        <v>0.80952380952380953</v>
      </c>
      <c r="I6" s="50">
        <v>0.7857142857142857</v>
      </c>
      <c r="J6" s="50">
        <v>0.875</v>
      </c>
      <c r="K6" s="50">
        <v>0.73809523809523814</v>
      </c>
      <c r="L6" s="50">
        <v>0.83333333333333337</v>
      </c>
      <c r="M6" s="50">
        <v>8.5258579140158091</v>
      </c>
    </row>
    <row r="7" spans="1:13" x14ac:dyDescent="0.25">
      <c r="A7" s="25" t="s">
        <v>58</v>
      </c>
      <c r="B7" s="50">
        <v>1.5037593984962405</v>
      </c>
      <c r="C7" s="50">
        <v>1.7838827838827838</v>
      </c>
      <c r="D7" s="50">
        <v>1.6526806526806528</v>
      </c>
      <c r="E7" s="50">
        <v>1.486842105263158</v>
      </c>
      <c r="F7" s="50">
        <v>1.6578947368421053</v>
      </c>
      <c r="G7" s="50">
        <v>1.4285714285714286</v>
      </c>
      <c r="H7" s="50">
        <v>1.5476190476190477</v>
      </c>
      <c r="I7" s="50">
        <v>1.5</v>
      </c>
      <c r="J7" s="50">
        <v>1.745967741935484</v>
      </c>
      <c r="K7" s="50">
        <v>1.4047619047619047</v>
      </c>
      <c r="L7" s="50">
        <v>1.6491228070175439</v>
      </c>
      <c r="M7" s="50">
        <v>17.36110260707035</v>
      </c>
    </row>
    <row r="12" spans="1:13" x14ac:dyDescent="0.25">
      <c r="K12" t="s">
        <v>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14B0-E5CB-43E7-921B-5951128D9A7F}">
  <dimension ref="A3:M13"/>
  <sheetViews>
    <sheetView workbookViewId="0">
      <selection activeCell="K13" sqref="K1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12" width="7.28515625" bestFit="1" customWidth="1"/>
    <col min="13" max="13" width="11.28515625" bestFit="1" customWidth="1"/>
    <col min="14" max="14" width="16.42578125" bestFit="1" customWidth="1"/>
    <col min="15" max="15" width="17.7109375" bestFit="1" customWidth="1"/>
    <col min="16" max="16" width="16.42578125" bestFit="1" customWidth="1"/>
    <col min="17" max="17" width="17.7109375" bestFit="1" customWidth="1"/>
    <col min="18" max="18" width="16.42578125" bestFit="1" customWidth="1"/>
    <col min="19" max="19" width="17.7109375" bestFit="1" customWidth="1"/>
    <col min="20" max="20" width="16.42578125" bestFit="1" customWidth="1"/>
    <col min="21" max="21" width="17.7109375" bestFit="1" customWidth="1"/>
    <col min="22" max="22" width="16.42578125" bestFit="1" customWidth="1"/>
    <col min="23" max="23" width="17.7109375" bestFit="1" customWidth="1"/>
    <col min="24" max="24" width="21.5703125" bestFit="1" customWidth="1"/>
    <col min="25" max="25" width="22.7109375" bestFit="1" customWidth="1"/>
  </cols>
  <sheetData>
    <row r="3" spans="1:13" x14ac:dyDescent="0.25">
      <c r="A3" s="29" t="s">
        <v>98</v>
      </c>
      <c r="B3" s="29" t="s">
        <v>57</v>
      </c>
    </row>
    <row r="4" spans="1:13" x14ac:dyDescent="0.25">
      <c r="A4" s="29" t="s">
        <v>59</v>
      </c>
      <c r="B4" t="s">
        <v>0</v>
      </c>
      <c r="C4" t="s">
        <v>8</v>
      </c>
      <c r="D4" t="s">
        <v>14</v>
      </c>
      <c r="E4" t="s">
        <v>17</v>
      </c>
      <c r="F4" t="s">
        <v>19</v>
      </c>
      <c r="G4" t="s">
        <v>23</v>
      </c>
      <c r="H4" t="s">
        <v>25</v>
      </c>
      <c r="I4" t="s">
        <v>38</v>
      </c>
      <c r="J4" t="s">
        <v>44</v>
      </c>
      <c r="K4" t="s">
        <v>45</v>
      </c>
      <c r="L4" t="s">
        <v>48</v>
      </c>
      <c r="M4" t="s">
        <v>58</v>
      </c>
    </row>
    <row r="5" spans="1:13" x14ac:dyDescent="0.25">
      <c r="A5" s="25" t="s">
        <v>103</v>
      </c>
      <c r="B5" s="50">
        <v>33</v>
      </c>
      <c r="C5" s="50">
        <v>42</v>
      </c>
      <c r="D5" s="50">
        <v>40</v>
      </c>
      <c r="E5" s="50">
        <v>39</v>
      </c>
      <c r="F5" s="50">
        <v>45</v>
      </c>
      <c r="G5" s="50">
        <v>39</v>
      </c>
      <c r="H5" s="50">
        <v>40</v>
      </c>
      <c r="I5" s="50">
        <v>39</v>
      </c>
      <c r="J5" s="50">
        <v>37</v>
      </c>
      <c r="K5" s="50">
        <v>40</v>
      </c>
      <c r="L5" s="50">
        <v>41</v>
      </c>
      <c r="M5" s="50">
        <v>435</v>
      </c>
    </row>
    <row r="6" spans="1:13" x14ac:dyDescent="0.25">
      <c r="A6" s="25" t="s">
        <v>104</v>
      </c>
      <c r="B6" s="50">
        <v>36</v>
      </c>
      <c r="C6" s="50">
        <v>40</v>
      </c>
      <c r="D6" s="50">
        <v>41</v>
      </c>
      <c r="E6" s="50">
        <v>42</v>
      </c>
      <c r="F6" s="50">
        <v>46</v>
      </c>
      <c r="G6" s="50">
        <v>39</v>
      </c>
      <c r="H6" s="50">
        <v>38</v>
      </c>
      <c r="I6" s="50">
        <v>40</v>
      </c>
      <c r="J6" s="50">
        <v>38</v>
      </c>
      <c r="K6" s="50">
        <v>40</v>
      </c>
      <c r="L6" s="50">
        <v>44</v>
      </c>
      <c r="M6" s="50">
        <v>444</v>
      </c>
    </row>
    <row r="7" spans="1:13" x14ac:dyDescent="0.25">
      <c r="A7" s="25" t="s">
        <v>58</v>
      </c>
      <c r="B7" s="50">
        <v>69</v>
      </c>
      <c r="C7" s="50">
        <v>82</v>
      </c>
      <c r="D7" s="50">
        <v>81</v>
      </c>
      <c r="E7" s="50">
        <v>81</v>
      </c>
      <c r="F7" s="50">
        <v>91</v>
      </c>
      <c r="G7" s="50">
        <v>78</v>
      </c>
      <c r="H7" s="50">
        <v>78</v>
      </c>
      <c r="I7" s="50">
        <v>79</v>
      </c>
      <c r="J7" s="50">
        <v>75</v>
      </c>
      <c r="K7" s="50">
        <v>80</v>
      </c>
      <c r="L7" s="50">
        <v>85</v>
      </c>
      <c r="M7" s="50">
        <v>879</v>
      </c>
    </row>
    <row r="12" spans="1:13" x14ac:dyDescent="0.25">
      <c r="K12" t="s">
        <v>99</v>
      </c>
    </row>
    <row r="13" spans="1:13" x14ac:dyDescent="0.25">
      <c r="K13" t="s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04B5-994D-498C-BE6E-CDFD6932E32F}">
  <dimension ref="A1:W34"/>
  <sheetViews>
    <sheetView tabSelected="1" zoomScale="80" zoomScaleNormal="80" workbookViewId="0">
      <selection activeCell="A4" sqref="A4:S22"/>
    </sheetView>
  </sheetViews>
  <sheetFormatPr defaultRowHeight="15" x14ac:dyDescent="0.25"/>
  <cols>
    <col min="2" max="2" width="11.28515625" bestFit="1" customWidth="1"/>
    <col min="3" max="3" width="7.140625" bestFit="1" customWidth="1"/>
    <col min="4" max="4" width="10.5703125" bestFit="1" customWidth="1"/>
    <col min="5" max="5" width="9.5703125" bestFit="1" customWidth="1"/>
    <col min="6" max="6" width="10.42578125" bestFit="1" customWidth="1"/>
    <col min="7" max="7" width="13.42578125" bestFit="1" customWidth="1"/>
    <col min="8" max="8" width="9.140625" bestFit="1" customWidth="1"/>
    <col min="9" max="9" width="15.85546875" bestFit="1" customWidth="1"/>
    <col min="10" max="10" width="10.28515625" bestFit="1" customWidth="1"/>
    <col min="11" max="11" width="10.7109375" bestFit="1" customWidth="1"/>
    <col min="12" max="12" width="12" bestFit="1" customWidth="1"/>
    <col min="13" max="13" width="13.42578125" bestFit="1" customWidth="1"/>
    <col min="20" max="20" width="8.42578125" customWidth="1"/>
    <col min="21" max="21" width="8.85546875" bestFit="1" customWidth="1"/>
    <col min="22" max="22" width="6.28515625" bestFit="1" customWidth="1"/>
    <col min="23" max="23" width="7.42578125" bestFit="1" customWidth="1"/>
  </cols>
  <sheetData>
    <row r="1" spans="1:23" x14ac:dyDescent="0.25">
      <c r="E1" s="52" t="s">
        <v>4</v>
      </c>
      <c r="F1" s="53"/>
      <c r="G1" s="54"/>
      <c r="H1" s="52" t="s">
        <v>3</v>
      </c>
      <c r="I1" s="54"/>
      <c r="J1" s="52" t="s">
        <v>6</v>
      </c>
      <c r="K1" s="53"/>
      <c r="L1" s="53"/>
      <c r="M1" s="54"/>
      <c r="N1" s="55" t="s">
        <v>9</v>
      </c>
      <c r="O1" s="51"/>
      <c r="P1" s="51"/>
      <c r="Q1" s="55" t="s">
        <v>10</v>
      </c>
      <c r="R1" s="51"/>
      <c r="S1" s="56"/>
    </row>
    <row r="2" spans="1:23" x14ac:dyDescent="0.25">
      <c r="E2" s="57" t="s">
        <v>31</v>
      </c>
      <c r="F2" s="58"/>
      <c r="G2" s="59"/>
      <c r="H2" s="57" t="s">
        <v>34</v>
      </c>
      <c r="I2" s="59"/>
      <c r="J2" s="57" t="s">
        <v>33</v>
      </c>
      <c r="K2" s="58"/>
      <c r="L2" s="58"/>
      <c r="M2" s="59"/>
      <c r="N2" s="57" t="s">
        <v>32</v>
      </c>
      <c r="O2" s="58"/>
      <c r="P2" s="59"/>
      <c r="Q2" s="57" t="s">
        <v>52</v>
      </c>
      <c r="R2" s="58"/>
      <c r="S2" s="59"/>
      <c r="U2" s="51"/>
      <c r="V2" s="51"/>
    </row>
    <row r="3" spans="1:23" x14ac:dyDescent="0.25">
      <c r="A3" s="1" t="s">
        <v>41</v>
      </c>
      <c r="B3" s="13" t="s">
        <v>55</v>
      </c>
      <c r="C3" s="13" t="s">
        <v>56</v>
      </c>
      <c r="D3" s="1" t="s">
        <v>2</v>
      </c>
      <c r="E3" s="2" t="s">
        <v>28</v>
      </c>
      <c r="F3" s="4" t="s">
        <v>29</v>
      </c>
      <c r="G3" s="3" t="s">
        <v>30</v>
      </c>
      <c r="H3" s="4" t="s">
        <v>5</v>
      </c>
      <c r="I3" s="3" t="s">
        <v>27</v>
      </c>
      <c r="J3" s="5" t="s">
        <v>16</v>
      </c>
      <c r="K3" s="4" t="s">
        <v>11</v>
      </c>
      <c r="L3" s="4" t="s">
        <v>15</v>
      </c>
      <c r="M3" s="4" t="s">
        <v>7</v>
      </c>
      <c r="N3" s="2" t="s">
        <v>12</v>
      </c>
      <c r="O3" s="4" t="s">
        <v>13</v>
      </c>
      <c r="P3" s="4" t="s">
        <v>5</v>
      </c>
      <c r="Q3" s="2" t="s">
        <v>12</v>
      </c>
      <c r="R3" s="4" t="s">
        <v>13</v>
      </c>
      <c r="S3" s="3" t="s">
        <v>5</v>
      </c>
      <c r="T3" s="5"/>
      <c r="U3" s="5"/>
      <c r="V3" s="5"/>
      <c r="W3" s="5"/>
    </row>
    <row r="4" spans="1:23" x14ac:dyDescent="0.25">
      <c r="A4" s="11">
        <v>1</v>
      </c>
      <c r="B4" s="30">
        <v>43168</v>
      </c>
      <c r="C4" s="31" t="s">
        <v>65</v>
      </c>
      <c r="D4" s="37" t="s">
        <v>1</v>
      </c>
      <c r="E4" s="32">
        <v>0.69840000000000002</v>
      </c>
      <c r="F4" s="9">
        <v>0.746</v>
      </c>
      <c r="G4" s="20">
        <f>AVERAGE(E4:F4)</f>
        <v>0.72219999999999995</v>
      </c>
      <c r="H4" s="9">
        <v>0.94530000000000003</v>
      </c>
      <c r="I4" s="10">
        <v>2297</v>
      </c>
      <c r="J4" s="61">
        <v>6</v>
      </c>
      <c r="K4" s="11">
        <v>48</v>
      </c>
      <c r="L4" s="11">
        <v>8</v>
      </c>
      <c r="M4" s="37">
        <v>5</v>
      </c>
      <c r="N4" s="11">
        <v>35</v>
      </c>
      <c r="O4" s="11">
        <v>31</v>
      </c>
      <c r="P4" s="60">
        <f>31/35</f>
        <v>0.88571428571428568</v>
      </c>
      <c r="Q4" s="28">
        <v>46</v>
      </c>
      <c r="R4" s="11">
        <v>44</v>
      </c>
      <c r="S4" s="39">
        <f>(R4-14)/(Q4-14)</f>
        <v>0.9375</v>
      </c>
      <c r="U4" s="7"/>
      <c r="V4" s="8"/>
    </row>
    <row r="5" spans="1:23" x14ac:dyDescent="0.25">
      <c r="A5" s="11">
        <v>1</v>
      </c>
      <c r="B5" s="30">
        <v>43182</v>
      </c>
      <c r="C5" s="31" t="s">
        <v>69</v>
      </c>
      <c r="D5" s="10" t="s">
        <v>46</v>
      </c>
      <c r="E5" s="19">
        <v>0.73009999999999997</v>
      </c>
      <c r="F5" s="19">
        <v>0.71399999999999997</v>
      </c>
      <c r="G5" s="20">
        <f>AVERAGE(E5:F5)</f>
        <v>0.72204999999999997</v>
      </c>
      <c r="H5" s="19">
        <v>0.90625</v>
      </c>
      <c r="I5" s="21">
        <v>2769.35</v>
      </c>
      <c r="J5" s="11">
        <v>6</v>
      </c>
      <c r="K5" s="11">
        <v>54</v>
      </c>
      <c r="L5" s="11">
        <v>9</v>
      </c>
      <c r="M5" s="10">
        <v>5.5</v>
      </c>
      <c r="N5" s="11">
        <v>42</v>
      </c>
      <c r="O5" s="11">
        <v>32</v>
      </c>
      <c r="P5" s="60">
        <f>32/42</f>
        <v>0.76190476190476186</v>
      </c>
      <c r="Q5" s="28">
        <v>44</v>
      </c>
      <c r="R5" s="11">
        <v>42</v>
      </c>
      <c r="S5" s="12">
        <f>(R5-14)/(Q5-14)</f>
        <v>0.93333333333333335</v>
      </c>
      <c r="U5" s="7"/>
      <c r="V5" s="8"/>
    </row>
    <row r="6" spans="1:23" x14ac:dyDescent="0.25">
      <c r="A6" s="11">
        <v>1</v>
      </c>
      <c r="B6" s="30">
        <v>43168</v>
      </c>
      <c r="C6" s="31" t="s">
        <v>64</v>
      </c>
      <c r="D6" s="10" t="s">
        <v>20</v>
      </c>
      <c r="E6" s="9">
        <v>0.746</v>
      </c>
      <c r="F6" s="9">
        <v>0.76200000000000001</v>
      </c>
      <c r="G6" s="20">
        <f>AVERAGE(E6:F6)</f>
        <v>0.754</v>
      </c>
      <c r="H6" s="9">
        <v>0.92189999999999994</v>
      </c>
      <c r="I6" s="10">
        <v>3397</v>
      </c>
      <c r="J6" s="11">
        <v>6</v>
      </c>
      <c r="K6" s="11">
        <v>60</v>
      </c>
      <c r="L6" s="11">
        <v>10</v>
      </c>
      <c r="M6" s="10">
        <v>6</v>
      </c>
      <c r="N6" s="11">
        <v>29</v>
      </c>
      <c r="O6" s="11">
        <v>25</v>
      </c>
      <c r="P6" s="12">
        <f>25/29</f>
        <v>0.86206896551724133</v>
      </c>
      <c r="Q6" s="28">
        <v>46</v>
      </c>
      <c r="R6" s="11">
        <v>43</v>
      </c>
      <c r="S6" s="12">
        <f>(R6-14)/(Q6-14)</f>
        <v>0.90625</v>
      </c>
      <c r="U6" s="7"/>
      <c r="V6" s="8"/>
    </row>
    <row r="7" spans="1:23" x14ac:dyDescent="0.25">
      <c r="A7" s="11">
        <v>1</v>
      </c>
      <c r="B7" s="30">
        <v>43168</v>
      </c>
      <c r="C7" s="31" t="s">
        <v>67</v>
      </c>
      <c r="D7" s="10" t="s">
        <v>21</v>
      </c>
      <c r="E7" s="9">
        <v>0.77700000000000002</v>
      </c>
      <c r="F7" s="9">
        <v>0.69799999999999995</v>
      </c>
      <c r="G7" s="20">
        <f>AVERAGE(E7:F7)</f>
        <v>0.73750000000000004</v>
      </c>
      <c r="H7" s="9">
        <v>0.88280000000000003</v>
      </c>
      <c r="I7" s="10">
        <v>3202</v>
      </c>
      <c r="J7" s="11">
        <v>8</v>
      </c>
      <c r="K7" s="11">
        <v>88</v>
      </c>
      <c r="L7" s="11">
        <v>11</v>
      </c>
      <c r="M7" s="10">
        <v>6.5</v>
      </c>
      <c r="N7" s="11">
        <v>32</v>
      </c>
      <c r="O7" s="11">
        <v>24</v>
      </c>
      <c r="P7" s="12">
        <f>24/32</f>
        <v>0.75</v>
      </c>
      <c r="Q7" s="28">
        <v>38</v>
      </c>
      <c r="R7" s="11">
        <v>34</v>
      </c>
      <c r="S7" s="12">
        <f>(R7-14)/(Q7-14)</f>
        <v>0.83333333333333337</v>
      </c>
      <c r="U7" s="7"/>
      <c r="V7" s="8"/>
    </row>
    <row r="8" spans="1:23" x14ac:dyDescent="0.25">
      <c r="A8" s="11">
        <v>1</v>
      </c>
      <c r="B8" s="30">
        <v>43168</v>
      </c>
      <c r="C8" s="31" t="s">
        <v>77</v>
      </c>
      <c r="D8" s="10" t="s">
        <v>22</v>
      </c>
      <c r="E8" s="9">
        <v>0.61899999999999999</v>
      </c>
      <c r="F8" s="9">
        <v>0.47599999999999998</v>
      </c>
      <c r="G8" s="20">
        <f>AVERAGE(E8:F8)</f>
        <v>0.54749999999999999</v>
      </c>
      <c r="H8" s="9">
        <v>0.96879999999999999</v>
      </c>
      <c r="I8" s="10">
        <v>3944</v>
      </c>
      <c r="J8" s="11">
        <v>5</v>
      </c>
      <c r="K8" s="11">
        <v>35</v>
      </c>
      <c r="L8" s="11">
        <v>7</v>
      </c>
      <c r="M8" s="10">
        <v>4.5</v>
      </c>
      <c r="N8" s="11">
        <v>33</v>
      </c>
      <c r="O8" s="11">
        <v>29</v>
      </c>
      <c r="P8" s="12">
        <f>29/33</f>
        <v>0.87878787878787878</v>
      </c>
      <c r="Q8" s="28">
        <v>42</v>
      </c>
      <c r="R8" s="11">
        <v>40</v>
      </c>
      <c r="S8" s="12">
        <f>(R8-14)/(Q8-14)</f>
        <v>0.9285714285714286</v>
      </c>
      <c r="U8" s="7"/>
      <c r="V8" s="8"/>
    </row>
    <row r="9" spans="1:23" x14ac:dyDescent="0.25">
      <c r="A9" s="11">
        <v>1</v>
      </c>
      <c r="B9" s="30">
        <v>43168</v>
      </c>
      <c r="C9" s="31" t="s">
        <v>74</v>
      </c>
      <c r="D9" s="10" t="s">
        <v>24</v>
      </c>
      <c r="E9" s="9">
        <v>0.65100000000000002</v>
      </c>
      <c r="F9" s="9">
        <v>0.66666000000000003</v>
      </c>
      <c r="G9" s="20">
        <f>AVERAGE(E9:F9)</f>
        <v>0.65883000000000003</v>
      </c>
      <c r="H9" s="9">
        <v>0.88280000000000003</v>
      </c>
      <c r="I9" s="10">
        <v>2279</v>
      </c>
      <c r="J9" s="11">
        <v>6</v>
      </c>
      <c r="K9" s="11">
        <v>54</v>
      </c>
      <c r="L9" s="11">
        <v>9</v>
      </c>
      <c r="M9" s="10">
        <v>5.5</v>
      </c>
      <c r="N9" s="11">
        <v>31</v>
      </c>
      <c r="O9" s="11">
        <v>24</v>
      </c>
      <c r="P9" s="12">
        <f>24/31</f>
        <v>0.77419354838709675</v>
      </c>
      <c r="Q9" s="28">
        <v>42</v>
      </c>
      <c r="R9" s="11">
        <v>39</v>
      </c>
      <c r="S9" s="12">
        <f>(R9-14)/(Q9-14)</f>
        <v>0.8928571428571429</v>
      </c>
      <c r="U9" s="7"/>
      <c r="V9" s="8"/>
    </row>
    <row r="10" spans="1:23" x14ac:dyDescent="0.25">
      <c r="A10" s="11">
        <v>1</v>
      </c>
      <c r="B10" s="30">
        <v>43168</v>
      </c>
      <c r="C10" s="31" t="s">
        <v>78</v>
      </c>
      <c r="D10" s="10" t="s">
        <v>18</v>
      </c>
      <c r="E10" s="9">
        <v>0.71430000000000005</v>
      </c>
      <c r="F10" s="9">
        <v>0.60299999999999998</v>
      </c>
      <c r="G10" s="20">
        <f>AVERAGE(E10:F10)</f>
        <v>0.65864999999999996</v>
      </c>
      <c r="H10" s="9">
        <v>0.92189999999999994</v>
      </c>
      <c r="I10" s="10">
        <v>6665</v>
      </c>
      <c r="J10" s="11">
        <v>5</v>
      </c>
      <c r="K10" s="22">
        <v>40</v>
      </c>
      <c r="L10" s="11">
        <v>8</v>
      </c>
      <c r="M10" s="10">
        <v>5</v>
      </c>
      <c r="N10" s="11">
        <v>25</v>
      </c>
      <c r="O10" s="11">
        <v>19</v>
      </c>
      <c r="P10" s="12">
        <f>19/25</f>
        <v>0.76</v>
      </c>
      <c r="Q10" s="11">
        <v>34</v>
      </c>
      <c r="R10" s="11">
        <v>33</v>
      </c>
      <c r="S10" s="12">
        <f>(R10-14)/(Q10-14)</f>
        <v>0.95</v>
      </c>
      <c r="U10" s="7"/>
      <c r="V10" s="8"/>
    </row>
    <row r="11" spans="1:23" x14ac:dyDescent="0.25">
      <c r="A11" s="11">
        <v>1</v>
      </c>
      <c r="B11" s="22" t="s">
        <v>42</v>
      </c>
      <c r="C11" s="40" t="s">
        <v>63</v>
      </c>
      <c r="D11" s="10" t="s">
        <v>35</v>
      </c>
      <c r="E11" s="9">
        <v>0.72719999999999996</v>
      </c>
      <c r="F11" s="9">
        <v>0.72719999999999996</v>
      </c>
      <c r="G11" s="20">
        <f>AVERAGE(E11:F11)</f>
        <v>0.72719999999999996</v>
      </c>
      <c r="H11" s="19">
        <v>0.41399999999999998</v>
      </c>
      <c r="I11" s="21">
        <v>2504.96</v>
      </c>
      <c r="J11" s="11">
        <v>8</v>
      </c>
      <c r="K11" s="11">
        <v>80</v>
      </c>
      <c r="L11" s="11">
        <v>10</v>
      </c>
      <c r="M11" s="10">
        <v>6</v>
      </c>
      <c r="N11" s="11">
        <v>42</v>
      </c>
      <c r="O11" s="11">
        <v>37</v>
      </c>
      <c r="P11" s="12">
        <f>37/42</f>
        <v>0.88095238095238093</v>
      </c>
      <c r="Q11" s="62">
        <v>45</v>
      </c>
      <c r="R11" s="11">
        <v>41</v>
      </c>
      <c r="S11" s="12">
        <f>(R11-14)/(Q11-14)</f>
        <v>0.87096774193548387</v>
      </c>
      <c r="U11" s="7"/>
      <c r="V11" s="8"/>
    </row>
    <row r="12" spans="1:23" x14ac:dyDescent="0.25">
      <c r="A12" s="11">
        <v>1</v>
      </c>
      <c r="B12" s="22" t="s">
        <v>42</v>
      </c>
      <c r="C12" s="40" t="s">
        <v>66</v>
      </c>
      <c r="D12" s="10" t="s">
        <v>36</v>
      </c>
      <c r="E12" s="9">
        <v>0.69799999999999995</v>
      </c>
      <c r="F12" s="9">
        <v>0.73</v>
      </c>
      <c r="G12" s="20">
        <f>AVERAGE(E12:F12)</f>
        <v>0.71399999999999997</v>
      </c>
      <c r="H12" s="9">
        <v>0.95299999999999996</v>
      </c>
      <c r="I12" s="21">
        <v>3942.97</v>
      </c>
      <c r="J12" s="11">
        <v>6</v>
      </c>
      <c r="K12" s="11">
        <v>54</v>
      </c>
      <c r="L12" s="11">
        <v>9</v>
      </c>
      <c r="M12" s="10">
        <v>5.5</v>
      </c>
      <c r="N12" s="11">
        <v>38</v>
      </c>
      <c r="O12" s="11">
        <v>31</v>
      </c>
      <c r="P12" s="12">
        <f>31/38</f>
        <v>0.81578947368421051</v>
      </c>
      <c r="Q12" s="62">
        <v>46</v>
      </c>
      <c r="R12" s="11">
        <v>45</v>
      </c>
      <c r="S12" s="12">
        <f>(R12-14)/(Q12-14)</f>
        <v>0.96875</v>
      </c>
      <c r="U12" s="7"/>
      <c r="V12" s="8"/>
    </row>
    <row r="13" spans="1:23" x14ac:dyDescent="0.25">
      <c r="A13" s="11">
        <v>1</v>
      </c>
      <c r="B13" s="22" t="s">
        <v>42</v>
      </c>
      <c r="C13" s="40" t="s">
        <v>79</v>
      </c>
      <c r="D13" s="10" t="s">
        <v>37</v>
      </c>
      <c r="E13" s="19">
        <v>0.71420000000000006</v>
      </c>
      <c r="F13" s="19">
        <v>0.71420000000000006</v>
      </c>
      <c r="G13" s="20">
        <f>AVERAGE(E13:F13)</f>
        <v>0.71420000000000006</v>
      </c>
      <c r="H13" s="19">
        <v>0.77339999999999998</v>
      </c>
      <c r="I13" s="21">
        <v>8239.57</v>
      </c>
      <c r="J13" s="11">
        <v>5</v>
      </c>
      <c r="K13" s="11">
        <v>35</v>
      </c>
      <c r="L13" s="11">
        <v>7</v>
      </c>
      <c r="M13" s="10">
        <v>4.5</v>
      </c>
      <c r="N13" s="11">
        <v>32</v>
      </c>
      <c r="O13" s="11">
        <v>26</v>
      </c>
      <c r="P13" s="12">
        <f>26/32</f>
        <v>0.8125</v>
      </c>
      <c r="Q13" s="11">
        <v>26</v>
      </c>
      <c r="R13" s="11">
        <v>22</v>
      </c>
      <c r="S13" s="12">
        <f>(R13-14)/(Q13-14)</f>
        <v>0.66666666666666663</v>
      </c>
      <c r="U13" s="7"/>
      <c r="V13" s="8"/>
    </row>
    <row r="14" spans="1:23" x14ac:dyDescent="0.25">
      <c r="A14" s="11">
        <v>1</v>
      </c>
      <c r="B14" s="30">
        <v>43182</v>
      </c>
      <c r="C14" s="31" t="s">
        <v>70</v>
      </c>
      <c r="D14" s="10" t="s">
        <v>39</v>
      </c>
      <c r="E14" s="19">
        <v>0.76200000000000001</v>
      </c>
      <c r="F14" s="19">
        <v>0.746</v>
      </c>
      <c r="G14" s="20">
        <f>AVERAGE(E14:F14)</f>
        <v>0.754</v>
      </c>
      <c r="H14" s="19">
        <v>0.78900000000000003</v>
      </c>
      <c r="I14" s="38">
        <v>3412</v>
      </c>
      <c r="J14" s="11">
        <v>6</v>
      </c>
      <c r="K14" s="11">
        <v>48</v>
      </c>
      <c r="L14" s="11">
        <v>8</v>
      </c>
      <c r="M14" s="10">
        <v>5</v>
      </c>
      <c r="N14" s="11">
        <v>31</v>
      </c>
      <c r="O14" s="11">
        <v>19</v>
      </c>
      <c r="P14" s="12">
        <f>19/31</f>
        <v>0.61290322580645162</v>
      </c>
      <c r="Q14" s="11">
        <v>43</v>
      </c>
      <c r="R14" s="11">
        <v>40</v>
      </c>
      <c r="S14" s="12">
        <f>(R14-14)/(Q14-14)</f>
        <v>0.89655172413793105</v>
      </c>
      <c r="U14" s="7"/>
      <c r="V14" s="8"/>
    </row>
    <row r="15" spans="1:23" x14ac:dyDescent="0.25">
      <c r="A15" s="11">
        <v>1</v>
      </c>
      <c r="B15" s="30">
        <v>43182</v>
      </c>
      <c r="C15" s="31" t="s">
        <v>62</v>
      </c>
      <c r="D15" s="10" t="s">
        <v>40</v>
      </c>
      <c r="E15" s="60">
        <v>0.76200000000000001</v>
      </c>
      <c r="F15" s="19">
        <v>0.76200000000000001</v>
      </c>
      <c r="G15" s="20">
        <f>AVERAGE(E15:F15)</f>
        <v>0.76200000000000001</v>
      </c>
      <c r="H15" s="19">
        <v>0.9375</v>
      </c>
      <c r="I15" s="38">
        <v>2147.4</v>
      </c>
      <c r="J15" s="62">
        <v>8</v>
      </c>
      <c r="K15" s="11">
        <v>72</v>
      </c>
      <c r="L15" s="11">
        <v>9</v>
      </c>
      <c r="M15" s="10">
        <v>5.5</v>
      </c>
      <c r="N15" s="11">
        <v>42</v>
      </c>
      <c r="O15" s="11">
        <v>36</v>
      </c>
      <c r="P15" s="12">
        <f>36/42</f>
        <v>0.8571428571428571</v>
      </c>
      <c r="Q15" s="62">
        <v>46</v>
      </c>
      <c r="R15" s="11">
        <v>46</v>
      </c>
      <c r="S15" s="12">
        <f>(R15-14)/(Q15-14)</f>
        <v>1</v>
      </c>
      <c r="U15" s="7"/>
      <c r="V15" s="8"/>
    </row>
    <row r="16" spans="1:23" x14ac:dyDescent="0.25">
      <c r="A16" s="11">
        <v>1</v>
      </c>
      <c r="B16" s="30">
        <v>43182</v>
      </c>
      <c r="C16" s="31" t="s">
        <v>80</v>
      </c>
      <c r="D16" s="10" t="s">
        <v>43</v>
      </c>
      <c r="E16" s="19">
        <v>0.73009999999999997</v>
      </c>
      <c r="F16" s="19">
        <v>0.61899999999999999</v>
      </c>
      <c r="G16" s="20">
        <f>AVERAGE(E16:F16)</f>
        <v>0.67454999999999998</v>
      </c>
      <c r="H16" s="19">
        <v>0.52340000000000009</v>
      </c>
      <c r="I16" s="38">
        <v>3045.31</v>
      </c>
      <c r="J16" s="11">
        <v>5</v>
      </c>
      <c r="K16" s="11">
        <v>35</v>
      </c>
      <c r="L16" s="11">
        <v>7</v>
      </c>
      <c r="M16" s="10">
        <v>4.5</v>
      </c>
      <c r="N16" s="11">
        <v>27</v>
      </c>
      <c r="O16" s="11">
        <v>21</v>
      </c>
      <c r="P16" s="12">
        <f>21/27</f>
        <v>0.77777777777777779</v>
      </c>
      <c r="Q16" s="11">
        <v>22</v>
      </c>
      <c r="R16" s="11">
        <v>17</v>
      </c>
      <c r="S16" s="12">
        <f>(R16-14)/(Q16-14)</f>
        <v>0.375</v>
      </c>
      <c r="U16" s="7"/>
      <c r="V16" s="8"/>
    </row>
    <row r="17" spans="1:22" x14ac:dyDescent="0.25">
      <c r="A17" s="11">
        <v>1</v>
      </c>
      <c r="B17" s="30">
        <v>43182</v>
      </c>
      <c r="C17" s="31" t="s">
        <v>68</v>
      </c>
      <c r="D17" s="10" t="s">
        <v>49</v>
      </c>
      <c r="E17" s="19">
        <v>0.69840000000000002</v>
      </c>
      <c r="F17" s="19">
        <v>0.746</v>
      </c>
      <c r="G17" s="20">
        <f>AVERAGE(E17:F17)</f>
        <v>0.72219999999999995</v>
      </c>
      <c r="H17" s="9">
        <v>0.85099999999999998</v>
      </c>
      <c r="I17" s="21">
        <v>3770.6689999999999</v>
      </c>
      <c r="J17" s="11">
        <v>6</v>
      </c>
      <c r="K17" s="11">
        <v>60</v>
      </c>
      <c r="L17" s="11">
        <v>10</v>
      </c>
      <c r="M17" s="10">
        <v>6</v>
      </c>
      <c r="N17" s="11">
        <v>42</v>
      </c>
      <c r="O17" s="11">
        <v>32</v>
      </c>
      <c r="P17" s="12">
        <f>32/42</f>
        <v>0.76190476190476186</v>
      </c>
      <c r="Q17" s="11">
        <v>45</v>
      </c>
      <c r="R17" s="11">
        <v>38</v>
      </c>
      <c r="S17" s="12">
        <f>(R17-14)/(Q17-14)</f>
        <v>0.77419354838709675</v>
      </c>
      <c r="U17" s="7"/>
      <c r="V17" s="8"/>
    </row>
    <row r="18" spans="1:22" x14ac:dyDescent="0.25">
      <c r="A18" s="11">
        <v>1</v>
      </c>
      <c r="B18" s="30">
        <v>43182</v>
      </c>
      <c r="C18" s="31" t="s">
        <v>71</v>
      </c>
      <c r="D18" s="10" t="s">
        <v>50</v>
      </c>
      <c r="E18" s="19">
        <v>0.76190000000000002</v>
      </c>
      <c r="F18" s="19">
        <v>0.746</v>
      </c>
      <c r="G18" s="20">
        <f>AVERAGE(E18:F18)</f>
        <v>0.75395000000000001</v>
      </c>
      <c r="H18" s="9">
        <v>0.94530000000000003</v>
      </c>
      <c r="I18" s="21">
        <v>3698.27</v>
      </c>
      <c r="J18" s="11">
        <v>6</v>
      </c>
      <c r="K18" s="11">
        <v>54</v>
      </c>
      <c r="L18" s="11">
        <v>9</v>
      </c>
      <c r="M18" s="10">
        <v>5.5</v>
      </c>
      <c r="N18" s="11">
        <v>32</v>
      </c>
      <c r="O18" s="11">
        <v>24</v>
      </c>
      <c r="P18" s="12">
        <f>24/32</f>
        <v>0.75</v>
      </c>
      <c r="Q18" s="11">
        <v>43</v>
      </c>
      <c r="R18" s="11">
        <v>41</v>
      </c>
      <c r="S18" s="12">
        <f>(R18-14)/(Q18-14)</f>
        <v>0.93103448275862066</v>
      </c>
      <c r="U18" s="7"/>
      <c r="V18" s="8"/>
    </row>
    <row r="19" spans="1:22" x14ac:dyDescent="0.25">
      <c r="A19" s="11">
        <v>1</v>
      </c>
      <c r="B19" s="30">
        <v>43182</v>
      </c>
      <c r="C19" s="31" t="s">
        <v>72</v>
      </c>
      <c r="D19" s="10" t="s">
        <v>53</v>
      </c>
      <c r="E19" s="19">
        <v>0.76190000000000002</v>
      </c>
      <c r="F19" s="19">
        <v>0.76190000000000002</v>
      </c>
      <c r="G19" s="20">
        <f>AVERAGE(E19:F19)</f>
        <v>0.76190000000000002</v>
      </c>
      <c r="H19" s="9">
        <v>0.58590000000000009</v>
      </c>
      <c r="I19" s="21">
        <v>2753.74</v>
      </c>
      <c r="J19" s="11">
        <v>6</v>
      </c>
      <c r="K19" s="11">
        <v>48</v>
      </c>
      <c r="L19" s="11">
        <v>8</v>
      </c>
      <c r="M19" s="10">
        <v>5</v>
      </c>
      <c r="N19" s="11">
        <v>19</v>
      </c>
      <c r="O19" s="11">
        <v>14</v>
      </c>
      <c r="P19" s="12">
        <f>14/19</f>
        <v>0.73684210526315785</v>
      </c>
      <c r="Q19" s="11">
        <v>42</v>
      </c>
      <c r="R19" s="11">
        <v>38</v>
      </c>
      <c r="S19" s="12">
        <f>(R19-14)/(Q19-14)</f>
        <v>0.8571428571428571</v>
      </c>
      <c r="U19" s="7"/>
      <c r="V19" s="8"/>
    </row>
    <row r="20" spans="1:22" x14ac:dyDescent="0.25">
      <c r="A20" s="11">
        <v>1</v>
      </c>
      <c r="B20" s="30">
        <v>43182</v>
      </c>
      <c r="C20" s="31" t="s">
        <v>75</v>
      </c>
      <c r="D20" s="10" t="s">
        <v>51</v>
      </c>
      <c r="E20" s="19">
        <v>0.65078999999999998</v>
      </c>
      <c r="F20" s="19">
        <v>0.66659999999999997</v>
      </c>
      <c r="G20" s="12">
        <f>AVERAGE(E20:F20)</f>
        <v>0.65869500000000003</v>
      </c>
      <c r="H20" s="19">
        <v>0.921875</v>
      </c>
      <c r="I20" s="21">
        <v>4635.96</v>
      </c>
      <c r="J20" s="11">
        <v>6</v>
      </c>
      <c r="K20" s="11">
        <v>54</v>
      </c>
      <c r="L20" s="11">
        <v>9</v>
      </c>
      <c r="M20" s="10">
        <v>5.5</v>
      </c>
      <c r="N20" s="11">
        <v>42</v>
      </c>
      <c r="O20" s="11">
        <v>29</v>
      </c>
      <c r="P20" s="12">
        <f>29/42</f>
        <v>0.69047619047619047</v>
      </c>
      <c r="Q20" s="11">
        <v>43</v>
      </c>
      <c r="R20" s="11">
        <v>40</v>
      </c>
      <c r="S20" s="12">
        <f>(R20-14)/(Q20-14)</f>
        <v>0.89655172413793105</v>
      </c>
      <c r="U20" s="7"/>
      <c r="V20" s="8"/>
    </row>
    <row r="21" spans="1:22" x14ac:dyDescent="0.25">
      <c r="A21" s="11">
        <v>1</v>
      </c>
      <c r="B21" s="30">
        <v>43182</v>
      </c>
      <c r="C21" s="31" t="s">
        <v>76</v>
      </c>
      <c r="D21" s="10" t="s">
        <v>47</v>
      </c>
      <c r="E21" s="19">
        <v>0.71420000000000006</v>
      </c>
      <c r="F21" s="19">
        <v>0.71420000000000006</v>
      </c>
      <c r="G21" s="20">
        <f>AVERAGE(E21:F21)</f>
        <v>0.71420000000000006</v>
      </c>
      <c r="H21" s="9">
        <v>0.86699999999999999</v>
      </c>
      <c r="I21" s="21">
        <v>3934.3</v>
      </c>
      <c r="J21" s="11">
        <v>5</v>
      </c>
      <c r="K21" s="11">
        <v>35</v>
      </c>
      <c r="L21" s="11">
        <v>7</v>
      </c>
      <c r="M21" s="10">
        <v>4.5</v>
      </c>
      <c r="N21" s="11">
        <v>38</v>
      </c>
      <c r="O21" s="11">
        <v>29</v>
      </c>
      <c r="P21" s="12">
        <f>29/38</f>
        <v>0.76315789473684215</v>
      </c>
      <c r="Q21" s="11">
        <v>43</v>
      </c>
      <c r="R21" s="11">
        <v>37</v>
      </c>
      <c r="S21" s="12">
        <f>(R21-14)/(Q21-14)</f>
        <v>0.7931034482758621</v>
      </c>
      <c r="U21" s="7"/>
      <c r="V21" s="8"/>
    </row>
    <row r="22" spans="1:22" x14ac:dyDescent="0.25">
      <c r="A22" s="11">
        <v>1</v>
      </c>
      <c r="B22" s="41" t="s">
        <v>42</v>
      </c>
      <c r="C22" s="42" t="s">
        <v>73</v>
      </c>
      <c r="D22" s="10" t="s">
        <v>54</v>
      </c>
      <c r="E22" s="19">
        <v>0.65078999999999998</v>
      </c>
      <c r="F22" s="19">
        <v>0.7258</v>
      </c>
      <c r="G22" s="20">
        <f>AVERAGE(E22:F22)</f>
        <v>0.68829499999999999</v>
      </c>
      <c r="H22" s="19">
        <v>0.80468000000000006</v>
      </c>
      <c r="I22" s="21">
        <v>4802.4359999999997</v>
      </c>
      <c r="J22" s="11">
        <v>5</v>
      </c>
      <c r="K22" s="11">
        <v>40</v>
      </c>
      <c r="L22" s="11">
        <v>8</v>
      </c>
      <c r="M22" s="10">
        <v>5</v>
      </c>
      <c r="N22" s="11">
        <v>38</v>
      </c>
      <c r="O22" s="11">
        <v>33</v>
      </c>
      <c r="P22" s="12">
        <f>33/38</f>
        <v>0.86842105263157898</v>
      </c>
      <c r="Q22" s="11">
        <v>39</v>
      </c>
      <c r="R22" s="11">
        <v>35</v>
      </c>
      <c r="S22" s="12">
        <f>(R22-14)/(Q22-14)</f>
        <v>0.84</v>
      </c>
      <c r="U22" s="7"/>
      <c r="V22" s="8"/>
    </row>
    <row r="23" spans="1:22" x14ac:dyDescent="0.25">
      <c r="B23" s="14"/>
      <c r="C23" s="14"/>
      <c r="D23" s="18" t="s">
        <v>26</v>
      </c>
      <c r="E23" s="15">
        <f t="shared" ref="E23:S23" si="0">AVERAGE(E4:E22)</f>
        <v>0.71406736842105278</v>
      </c>
      <c r="F23" s="15">
        <f t="shared" si="0"/>
        <v>0.7012926315789475</v>
      </c>
      <c r="G23" s="15">
        <f t="shared" si="0"/>
        <v>0.70768000000000009</v>
      </c>
      <c r="H23" s="15">
        <f t="shared" si="0"/>
        <v>0.83135815789473677</v>
      </c>
      <c r="I23" s="16">
        <f t="shared" si="0"/>
        <v>3760.0492105263156</v>
      </c>
      <c r="J23" s="17">
        <f t="shared" si="0"/>
        <v>6</v>
      </c>
      <c r="K23" s="17">
        <f t="shared" si="0"/>
        <v>52.315789473684212</v>
      </c>
      <c r="L23" s="17">
        <f t="shared" si="0"/>
        <v>8.5789473684210531</v>
      </c>
      <c r="M23" s="17">
        <f t="shared" si="0"/>
        <v>5.2894736842105265</v>
      </c>
      <c r="N23" s="17">
        <f t="shared" si="0"/>
        <v>34.210526315789473</v>
      </c>
      <c r="O23" s="17">
        <f t="shared" si="0"/>
        <v>27.105263157894736</v>
      </c>
      <c r="P23" s="15">
        <f t="shared" si="0"/>
        <v>0.78950195582565663</v>
      </c>
      <c r="Q23" s="17">
        <f t="shared" si="0"/>
        <v>40.789473684210527</v>
      </c>
      <c r="R23" s="17">
        <f t="shared" si="0"/>
        <v>37.631578947368418</v>
      </c>
      <c r="S23" s="15">
        <f t="shared" si="0"/>
        <v>0.85535828587040452</v>
      </c>
    </row>
    <row r="29" spans="1:22" ht="15.75" x14ac:dyDescent="0.25">
      <c r="I29" s="24"/>
    </row>
    <row r="30" spans="1:22" ht="16.5" x14ac:dyDescent="0.25">
      <c r="I30" s="23"/>
    </row>
    <row r="31" spans="1:22" ht="16.5" x14ac:dyDescent="0.25">
      <c r="I31" s="23"/>
    </row>
    <row r="32" spans="1:22" ht="16.5" x14ac:dyDescent="0.25">
      <c r="I32" s="23"/>
    </row>
    <row r="33" spans="9:9" ht="15.75" x14ac:dyDescent="0.25">
      <c r="I33" s="24"/>
    </row>
    <row r="34" spans="9:9" ht="15.75" x14ac:dyDescent="0.25">
      <c r="I34" s="24"/>
    </row>
  </sheetData>
  <sortState xmlns:xlrd2="http://schemas.microsoft.com/office/spreadsheetml/2017/richdata2" ref="A4:S22">
    <sortCondition ref="D4:D22"/>
  </sortState>
  <mergeCells count="11">
    <mergeCell ref="U2:V2"/>
    <mergeCell ref="E1:G1"/>
    <mergeCell ref="H1:I1"/>
    <mergeCell ref="J1:M1"/>
    <mergeCell ref="N1:P1"/>
    <mergeCell ref="Q1:S1"/>
    <mergeCell ref="E2:G2"/>
    <mergeCell ref="H2:I2"/>
    <mergeCell ref="J2:M2"/>
    <mergeCell ref="N2:P2"/>
    <mergeCell ref="Q2:S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NBack</vt:lpstr>
      <vt:lpstr>Rotation</vt:lpstr>
      <vt:lpstr>Corsi</vt:lpstr>
      <vt:lpstr>Reading</vt:lpstr>
      <vt:lpstr>Matrices</vt:lpstr>
      <vt:lpstr>Session1_only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freya</cp:lastModifiedBy>
  <dcterms:created xsi:type="dcterms:W3CDTF">2018-03-09T12:11:11Z</dcterms:created>
  <dcterms:modified xsi:type="dcterms:W3CDTF">2022-03-11T16:48:38Z</dcterms:modified>
</cp:coreProperties>
</file>