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 activeTab="1"/>
  </bookViews>
  <sheets>
    <sheet name="si_peaks" sheetId="1" r:id="rId1"/>
    <sheet name="ge_peaks" sheetId="2" r:id="rId2"/>
    <sheet name="erde_peaks" sheetId="3" r:id="rId3"/>
  </sheets>
  <calcPr calcId="145621"/>
</workbook>
</file>

<file path=xl/calcChain.xml><?xml version="1.0" encoding="utf-8"?>
<calcChain xmlns="http://schemas.openxmlformats.org/spreadsheetml/2006/main">
  <c r="M8" i="3" l="1"/>
  <c r="M5" i="3"/>
  <c r="M7" i="3"/>
  <c r="M9" i="3"/>
  <c r="M6" i="3"/>
  <c r="M11" i="3"/>
  <c r="M10" i="3"/>
  <c r="N10" i="3" s="1"/>
  <c r="J10" i="3"/>
  <c r="I10" i="3"/>
  <c r="X9" i="2" l="1"/>
  <c r="X10" i="2"/>
  <c r="X11" i="2"/>
  <c r="X12" i="2"/>
  <c r="X13" i="2"/>
  <c r="X14" i="2"/>
  <c r="X15" i="2"/>
  <c r="X8" i="2"/>
  <c r="W9" i="2"/>
  <c r="W10" i="2"/>
  <c r="W11" i="2"/>
  <c r="W12" i="2"/>
  <c r="W13" i="2"/>
  <c r="W14" i="2"/>
  <c r="W15" i="2"/>
  <c r="W8" i="2"/>
  <c r="U9" i="2"/>
  <c r="U10" i="2"/>
  <c r="U11" i="2"/>
  <c r="U12" i="2"/>
  <c r="U13" i="2"/>
  <c r="U14" i="2"/>
  <c r="U15" i="2"/>
  <c r="U8" i="2"/>
  <c r="T9" i="2"/>
  <c r="T10" i="2"/>
  <c r="T11" i="2"/>
  <c r="T12" i="2"/>
  <c r="T13" i="2"/>
  <c r="T14" i="2"/>
  <c r="T15" i="2"/>
  <c r="T8" i="2"/>
  <c r="S2" i="2" l="1"/>
  <c r="R2" i="2"/>
  <c r="S7" i="2"/>
  <c r="S6" i="2"/>
  <c r="R7" i="2"/>
  <c r="R6" i="2"/>
  <c r="S5" i="2"/>
  <c r="R5" i="2"/>
  <c r="Q7" i="2"/>
  <c r="Q8" i="2"/>
  <c r="Q9" i="2"/>
  <c r="Q10" i="2"/>
  <c r="Q11" i="2"/>
  <c r="Q12" i="2"/>
  <c r="Q13" i="2"/>
  <c r="Q14" i="2"/>
  <c r="Q15" i="2"/>
  <c r="P6" i="2"/>
  <c r="P7" i="2"/>
  <c r="P8" i="2"/>
  <c r="P9" i="2"/>
  <c r="P10" i="2"/>
  <c r="P11" i="2"/>
  <c r="P12" i="2"/>
  <c r="P13" i="2"/>
  <c r="P14" i="2"/>
  <c r="P15" i="2"/>
  <c r="O6" i="2"/>
  <c r="O7" i="2"/>
  <c r="O8" i="2"/>
  <c r="O9" i="2"/>
  <c r="O10" i="2"/>
  <c r="O11" i="2"/>
  <c r="O12" i="2"/>
  <c r="O13" i="2"/>
  <c r="O14" i="2"/>
  <c r="O15" i="2"/>
  <c r="O5" i="2"/>
  <c r="N6" i="2"/>
  <c r="N7" i="2"/>
  <c r="N8" i="2"/>
  <c r="N9" i="2"/>
  <c r="N10" i="2"/>
  <c r="N11" i="2"/>
  <c r="N12" i="2"/>
  <c r="N13" i="2"/>
  <c r="N14" i="2"/>
  <c r="N15" i="2"/>
  <c r="N5" i="2"/>
  <c r="S1" i="1"/>
  <c r="R1" i="1"/>
  <c r="S7" i="1"/>
  <c r="S6" i="1"/>
  <c r="S5" i="1"/>
  <c r="R5" i="1"/>
  <c r="R6" i="1"/>
  <c r="R7" i="1"/>
  <c r="Q6" i="1"/>
  <c r="Q7" i="1"/>
  <c r="Q8" i="1"/>
  <c r="Q9" i="1"/>
  <c r="Q10" i="1"/>
  <c r="Q5" i="1"/>
  <c r="P6" i="1"/>
  <c r="P7" i="1"/>
  <c r="P8" i="1"/>
  <c r="P9" i="1"/>
  <c r="P10" i="1"/>
  <c r="P5" i="1"/>
  <c r="O6" i="1" l="1"/>
  <c r="O7" i="1"/>
  <c r="O8" i="1"/>
  <c r="O9" i="1"/>
  <c r="O10" i="1"/>
  <c r="O5" i="1"/>
  <c r="N6" i="1"/>
  <c r="N7" i="1"/>
  <c r="N8" i="1"/>
  <c r="N9" i="1"/>
  <c r="N10" i="1"/>
  <c r="N5" i="1"/>
  <c r="J11" i="3" l="1"/>
  <c r="I11" i="3"/>
  <c r="N11" i="3" s="1"/>
  <c r="I9" i="3"/>
  <c r="N9" i="3" s="1"/>
  <c r="J9" i="3"/>
  <c r="I8" i="3"/>
  <c r="N8" i="3" s="1"/>
  <c r="J8" i="3"/>
  <c r="I7" i="3"/>
  <c r="N7" i="3" s="1"/>
  <c r="J7" i="3"/>
  <c r="I6" i="3"/>
  <c r="N6" i="3" s="1"/>
  <c r="J6" i="3"/>
  <c r="I5" i="3"/>
  <c r="N5" i="3" s="1"/>
  <c r="J5" i="3"/>
  <c r="M11" i="2" l="1"/>
  <c r="M12" i="2"/>
  <c r="M13" i="2"/>
  <c r="M14" i="2"/>
  <c r="M15" i="2"/>
  <c r="L11" i="2"/>
  <c r="L12" i="2"/>
  <c r="L13" i="2"/>
  <c r="L14" i="2"/>
  <c r="L15" i="2"/>
  <c r="L5" i="2"/>
  <c r="P5" i="2" s="1"/>
  <c r="L6" i="2"/>
  <c r="L7" i="2"/>
  <c r="L8" i="2"/>
  <c r="L9" i="2"/>
  <c r="L10" i="2"/>
  <c r="M10" i="2"/>
  <c r="M9" i="2"/>
  <c r="M8" i="2"/>
  <c r="M7" i="2"/>
  <c r="M6" i="2"/>
  <c r="Q6" i="2" s="1"/>
  <c r="M5" i="2"/>
  <c r="Q5" i="2" l="1"/>
  <c r="L6" i="1"/>
  <c r="M6" i="1"/>
  <c r="L7" i="1"/>
  <c r="M7" i="1"/>
  <c r="L8" i="1"/>
  <c r="M8" i="1"/>
  <c r="L9" i="1"/>
  <c r="M9" i="1"/>
  <c r="L10" i="1"/>
  <c r="M10" i="1"/>
  <c r="M5" i="1"/>
  <c r="L5" i="1"/>
</calcChain>
</file>

<file path=xl/sharedStrings.xml><?xml version="1.0" encoding="utf-8"?>
<sst xmlns="http://schemas.openxmlformats.org/spreadsheetml/2006/main" count="80" uniqueCount="35">
  <si>
    <t>n</t>
  </si>
  <si>
    <t>elem</t>
  </si>
  <si>
    <t>cs</t>
  </si>
  <si>
    <t>co</t>
  </si>
  <si>
    <t>eu</t>
  </si>
  <si>
    <t>energy</t>
  </si>
  <si>
    <t>a</t>
  </si>
  <si>
    <t>da</t>
  </si>
  <si>
    <t>b</t>
  </si>
  <si>
    <t>db</t>
  </si>
  <si>
    <t>hwhm</t>
  </si>
  <si>
    <t>dhwhm</t>
  </si>
  <si>
    <t>s</t>
  </si>
  <si>
    <t>ds</t>
  </si>
  <si>
    <t>fwhm/kev</t>
  </si>
  <si>
    <t>dfwhm/kev</t>
  </si>
  <si>
    <t>Npeak</t>
  </si>
  <si>
    <t>dNpeak</t>
  </si>
  <si>
    <t>PtT</t>
  </si>
  <si>
    <t>dPtT</t>
  </si>
  <si>
    <t>relint</t>
  </si>
  <si>
    <t>drelint</t>
  </si>
  <si>
    <t>relintreal</t>
  </si>
  <si>
    <t>vrelint</t>
  </si>
  <si>
    <t>dvrelint</t>
  </si>
  <si>
    <t>e</t>
  </si>
  <si>
    <t>de</t>
  </si>
  <si>
    <t>bin/e</t>
  </si>
  <si>
    <t>dbin/e</t>
  </si>
  <si>
    <t>139xe</t>
  </si>
  <si>
    <t>227ac</t>
  </si>
  <si>
    <t>226ra</t>
  </si>
  <si>
    <t>227ac, 227th</t>
  </si>
  <si>
    <t>137cs</t>
  </si>
  <si>
    <t>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</si>
</sst>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si_peaks!$H$4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si_peaks!$E$5:$E$10</c:f>
              <c:numCache>
                <c:formatCode>General</c:formatCode>
                <c:ptCount val="6"/>
                <c:pt idx="0">
                  <c:v>661.66</c:v>
                </c:pt>
                <c:pt idx="1">
                  <c:v>1332.5</c:v>
                </c:pt>
                <c:pt idx="2">
                  <c:v>1173.2</c:v>
                </c:pt>
                <c:pt idx="3">
                  <c:v>121.7825</c:v>
                </c:pt>
                <c:pt idx="4">
                  <c:v>344.28100000000001</c:v>
                </c:pt>
                <c:pt idx="5">
                  <c:v>1408.011</c:v>
                </c:pt>
              </c:numCache>
            </c:numRef>
          </c:xVal>
          <c:yVal>
            <c:numRef>
              <c:f>si_peaks!$H$5:$H$10</c:f>
              <c:numCache>
                <c:formatCode>General</c:formatCode>
                <c:ptCount val="6"/>
                <c:pt idx="0">
                  <c:v>1193</c:v>
                </c:pt>
                <c:pt idx="1">
                  <c:v>2068</c:v>
                </c:pt>
                <c:pt idx="2">
                  <c:v>2323</c:v>
                </c:pt>
                <c:pt idx="3">
                  <c:v>234</c:v>
                </c:pt>
                <c:pt idx="4">
                  <c:v>610</c:v>
                </c:pt>
                <c:pt idx="5">
                  <c:v>2055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22752"/>
        <c:axId val="158524544"/>
      </c:scatterChart>
      <c:valAx>
        <c:axId val="1585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524544"/>
        <c:crosses val="autoZero"/>
        <c:crossBetween val="midCat"/>
      </c:valAx>
      <c:valAx>
        <c:axId val="1585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2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ge_peaks!$H$4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ge_peaks!$E$5:$E$15</c:f>
              <c:numCache>
                <c:formatCode>General</c:formatCode>
                <c:ptCount val="11"/>
                <c:pt idx="0">
                  <c:v>661.66</c:v>
                </c:pt>
                <c:pt idx="1">
                  <c:v>1173.2</c:v>
                </c:pt>
                <c:pt idx="2">
                  <c:v>1332.5</c:v>
                </c:pt>
                <c:pt idx="3">
                  <c:v>121.78</c:v>
                </c:pt>
                <c:pt idx="4">
                  <c:v>244.69890000000001</c:v>
                </c:pt>
                <c:pt idx="5">
                  <c:v>344.28100000000001</c:v>
                </c:pt>
                <c:pt idx="6">
                  <c:v>778.90300000000002</c:v>
                </c:pt>
                <c:pt idx="7">
                  <c:v>964.13099999999997</c:v>
                </c:pt>
                <c:pt idx="8">
                  <c:v>1085.914</c:v>
                </c:pt>
                <c:pt idx="9">
                  <c:v>1112.116</c:v>
                </c:pt>
                <c:pt idx="10">
                  <c:v>1408.011</c:v>
                </c:pt>
              </c:numCache>
            </c:numRef>
          </c:xVal>
          <c:yVal>
            <c:numRef>
              <c:f>ge_peaks!$H$5:$H$15</c:f>
              <c:numCache>
                <c:formatCode>General</c:formatCode>
                <c:ptCount val="11"/>
                <c:pt idx="0">
                  <c:v>3316.94</c:v>
                </c:pt>
                <c:pt idx="1">
                  <c:v>5899.82</c:v>
                </c:pt>
                <c:pt idx="2">
                  <c:v>6704</c:v>
                </c:pt>
                <c:pt idx="3">
                  <c:v>591.79100000000005</c:v>
                </c:pt>
                <c:pt idx="4">
                  <c:v>1212.8699999999999</c:v>
                </c:pt>
                <c:pt idx="5">
                  <c:v>1715.21</c:v>
                </c:pt>
                <c:pt idx="6">
                  <c:v>3908</c:v>
                </c:pt>
                <c:pt idx="7">
                  <c:v>4843</c:v>
                </c:pt>
                <c:pt idx="8">
                  <c:v>5458</c:v>
                </c:pt>
                <c:pt idx="9">
                  <c:v>5590</c:v>
                </c:pt>
                <c:pt idx="10">
                  <c:v>7084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3040"/>
        <c:axId val="158605312"/>
      </c:scatterChart>
      <c:valAx>
        <c:axId val="1585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605312"/>
        <c:crosses val="autoZero"/>
        <c:crossBetween val="midCat"/>
      </c:valAx>
      <c:valAx>
        <c:axId val="1586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8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11</xdr:row>
      <xdr:rowOff>19050</xdr:rowOff>
    </xdr:from>
    <xdr:to>
      <xdr:col>15</xdr:col>
      <xdr:colOff>104775</xdr:colOff>
      <xdr:row>25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19</xdr:row>
      <xdr:rowOff>9525</xdr:rowOff>
    </xdr:from>
    <xdr:to>
      <xdr:col>15</xdr:col>
      <xdr:colOff>361950</xdr:colOff>
      <xdr:row>33</xdr:row>
      <xdr:rowOff>85725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"/>
  <sheetViews>
    <sheetView topLeftCell="G1" workbookViewId="0">
      <selection activeCell="N4" sqref="N4:S10"/>
    </sheetView>
  </sheetViews>
  <sheetFormatPr baseColWidth="10" defaultRowHeight="15" x14ac:dyDescent="0.25"/>
  <sheetData>
    <row r="1" spans="3:19" x14ac:dyDescent="0.25">
      <c r="M1" t="s">
        <v>6</v>
      </c>
      <c r="N1">
        <v>1.7658199999999999</v>
      </c>
      <c r="R1">
        <f>R6+R7</f>
        <v>0.19821796116829721</v>
      </c>
      <c r="S1">
        <f>SQRT(S6^2+S7^2)</f>
        <v>6.8141644999409542E-3</v>
      </c>
    </row>
    <row r="2" spans="3:19" x14ac:dyDescent="0.25">
      <c r="M2" t="s">
        <v>7</v>
      </c>
      <c r="N2">
        <v>8.7590000000000001E-2</v>
      </c>
    </row>
    <row r="4" spans="3:19" x14ac:dyDescent="0.25">
      <c r="C4" t="s">
        <v>0</v>
      </c>
      <c r="D4" t="s">
        <v>1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</row>
    <row r="5" spans="3:19" x14ac:dyDescent="0.25">
      <c r="C5">
        <v>1</v>
      </c>
      <c r="D5" t="s">
        <v>2</v>
      </c>
      <c r="E5">
        <v>661.66</v>
      </c>
      <c r="F5">
        <v>37781</v>
      </c>
      <c r="G5">
        <v>932.89300000000003</v>
      </c>
      <c r="H5">
        <v>1193</v>
      </c>
      <c r="I5">
        <v>0.90984100000000001</v>
      </c>
      <c r="J5">
        <v>50.5</v>
      </c>
      <c r="K5">
        <v>0.90051099999999995</v>
      </c>
      <c r="L5">
        <f>J5/1.1775</f>
        <v>42.887473460721871</v>
      </c>
      <c r="M5">
        <f>K5/1.1775</f>
        <v>0.7647651804670913</v>
      </c>
      <c r="N5">
        <f>2*J5/N$1</f>
        <v>57.19722281999298</v>
      </c>
      <c r="O5">
        <f>N5*SQRT((K5/J5)^2+(N$2/N$1)^2)</f>
        <v>3.0149154857724136</v>
      </c>
      <c r="P5">
        <f>SQRT(2*PI())*F5*L5</f>
        <v>4061569.0901177139</v>
      </c>
      <c r="Q5">
        <f>P5*SQRT((M5/L5)^2+(G5/F5)^2)</f>
        <v>123706.45375501597</v>
      </c>
      <c r="R5">
        <f>P5/17152004</f>
        <v>0.23679851579545538</v>
      </c>
      <c r="S5">
        <f>R5*SQRT((Q5/P5)^2+1/17152004)</f>
        <v>7.2125881626142283E-3</v>
      </c>
    </row>
    <row r="6" spans="3:19" x14ac:dyDescent="0.25">
      <c r="C6">
        <v>2</v>
      </c>
      <c r="D6" t="s">
        <v>3</v>
      </c>
      <c r="E6">
        <v>1332.5</v>
      </c>
      <c r="F6">
        <v>2586</v>
      </c>
      <c r="G6">
        <v>90.235399999999998</v>
      </c>
      <c r="H6">
        <v>2068</v>
      </c>
      <c r="I6">
        <v>1.88304</v>
      </c>
      <c r="J6">
        <v>72</v>
      </c>
      <c r="K6">
        <v>2.0807600000000002</v>
      </c>
      <c r="L6">
        <f t="shared" ref="L6:L10" si="0">J6/1.1775</f>
        <v>61.146496815286625</v>
      </c>
      <c r="M6">
        <f t="shared" ref="M6:M10" si="1">K6/1.1775</f>
        <v>1.767099787685775</v>
      </c>
      <c r="N6">
        <f t="shared" ref="N6:N10" si="2">2*J6/N$1</f>
        <v>81.548515703752372</v>
      </c>
      <c r="O6">
        <f t="shared" ref="O6:O10" si="3">N6*SQRT((K6/J6)^2+(N$2/N$1)^2)</f>
        <v>4.6815078914358335</v>
      </c>
      <c r="P6">
        <f t="shared" ref="P6:P10" si="4">SQRT(2*PI())*F6*L6</f>
        <v>396360.19678139722</v>
      </c>
      <c r="Q6">
        <f t="shared" ref="Q6:Q10" si="5">P6*SQRT((M6/L6)^2+(G6/F6)^2)</f>
        <v>17958.030597191002</v>
      </c>
      <c r="R6">
        <f t="shared" ref="R6:R7" si="6">P6/3482320</f>
        <v>0.11382072778532622</v>
      </c>
      <c r="S6">
        <f>R6*SQRT((Q6/P6)^2+1/3482320)</f>
        <v>5.1572763700217534E-3</v>
      </c>
    </row>
    <row r="7" spans="3:19" x14ac:dyDescent="0.25">
      <c r="C7">
        <v>3</v>
      </c>
      <c r="D7" t="s">
        <v>3</v>
      </c>
      <c r="E7">
        <v>1173.2</v>
      </c>
      <c r="F7">
        <v>2301</v>
      </c>
      <c r="G7">
        <v>93.862799999999993</v>
      </c>
      <c r="H7">
        <v>2323</v>
      </c>
      <c r="I7">
        <v>1.8987499999999999</v>
      </c>
      <c r="J7">
        <v>60</v>
      </c>
      <c r="K7">
        <v>2.0083799999999998</v>
      </c>
      <c r="L7">
        <f t="shared" si="0"/>
        <v>50.955414012738856</v>
      </c>
      <c r="M7">
        <f t="shared" si="1"/>
        <v>1.7056305732484076</v>
      </c>
      <c r="N7">
        <f t="shared" si="2"/>
        <v>67.957096419793643</v>
      </c>
      <c r="O7">
        <f t="shared" si="3"/>
        <v>4.0665954939493449</v>
      </c>
      <c r="P7">
        <f t="shared" si="4"/>
        <v>293898.17375418759</v>
      </c>
      <c r="Q7">
        <f t="shared" si="5"/>
        <v>15508.367689554787</v>
      </c>
      <c r="R7">
        <f t="shared" si="6"/>
        <v>8.4397233382971004E-2</v>
      </c>
      <c r="S7">
        <f>R7*SQRT((Q7/P7)^2+1/3482320)</f>
        <v>4.4536881654950655E-3</v>
      </c>
    </row>
    <row r="8" spans="3:19" x14ac:dyDescent="0.25">
      <c r="C8">
        <v>4</v>
      </c>
      <c r="D8" t="s">
        <v>4</v>
      </c>
      <c r="E8">
        <v>121.7825</v>
      </c>
      <c r="F8">
        <v>160500</v>
      </c>
      <c r="G8">
        <v>3181.48</v>
      </c>
      <c r="H8">
        <v>234</v>
      </c>
      <c r="I8">
        <v>0.86112100000000003</v>
      </c>
      <c r="J8">
        <v>61</v>
      </c>
      <c r="K8">
        <v>0.97051200000000004</v>
      </c>
      <c r="L8">
        <f t="shared" si="0"/>
        <v>51.804670912951167</v>
      </c>
      <c r="M8">
        <f t="shared" si="1"/>
        <v>0.82421401273885353</v>
      </c>
      <c r="N8">
        <f t="shared" si="2"/>
        <v>69.08971469345687</v>
      </c>
      <c r="O8">
        <f t="shared" si="3"/>
        <v>3.5990293783033604</v>
      </c>
      <c r="P8">
        <f t="shared" si="4"/>
        <v>20841735.985371388</v>
      </c>
      <c r="Q8">
        <f t="shared" si="5"/>
        <v>529746.31031532027</v>
      </c>
    </row>
    <row r="9" spans="3:19" x14ac:dyDescent="0.25">
      <c r="C9">
        <v>5</v>
      </c>
      <c r="D9" t="s">
        <v>4</v>
      </c>
      <c r="E9">
        <v>344.28100000000001</v>
      </c>
      <c r="F9">
        <v>53500</v>
      </c>
      <c r="G9">
        <v>2255.12</v>
      </c>
      <c r="H9">
        <v>610</v>
      </c>
      <c r="I9">
        <v>1.7623</v>
      </c>
      <c r="J9">
        <v>49</v>
      </c>
      <c r="K9">
        <v>2.0173899999999998</v>
      </c>
      <c r="L9">
        <f t="shared" si="0"/>
        <v>41.613588110403398</v>
      </c>
      <c r="M9">
        <f t="shared" si="1"/>
        <v>1.7132823779193205</v>
      </c>
      <c r="N9">
        <f t="shared" si="2"/>
        <v>55.498295409498141</v>
      </c>
      <c r="O9">
        <f t="shared" si="3"/>
        <v>3.5776084337068403</v>
      </c>
      <c r="P9">
        <f t="shared" si="4"/>
        <v>5580574.1163016278</v>
      </c>
      <c r="Q9">
        <f t="shared" si="5"/>
        <v>328820.47456788179</v>
      </c>
    </row>
    <row r="10" spans="3:19" x14ac:dyDescent="0.25">
      <c r="C10">
        <v>6</v>
      </c>
      <c r="D10" t="s">
        <v>4</v>
      </c>
      <c r="E10">
        <v>1408.011</v>
      </c>
      <c r="F10">
        <v>21300</v>
      </c>
      <c r="G10">
        <v>690.55799999999999</v>
      </c>
      <c r="H10">
        <v>2055</v>
      </c>
      <c r="I10">
        <v>4.8984699999999997</v>
      </c>
      <c r="J10">
        <v>195</v>
      </c>
      <c r="K10">
        <v>5.7294799999999997</v>
      </c>
      <c r="L10">
        <f t="shared" si="0"/>
        <v>165.60509554140128</v>
      </c>
      <c r="M10">
        <f t="shared" si="1"/>
        <v>4.8658004246284499</v>
      </c>
      <c r="N10">
        <f t="shared" si="2"/>
        <v>220.86056336432932</v>
      </c>
      <c r="O10">
        <f t="shared" si="3"/>
        <v>12.733063027778199</v>
      </c>
      <c r="P10">
        <f t="shared" si="4"/>
        <v>8841851.8375200499</v>
      </c>
      <c r="Q10">
        <f t="shared" si="5"/>
        <v>386864.29621616617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5"/>
  <sheetViews>
    <sheetView tabSelected="1" topLeftCell="K1" workbookViewId="0">
      <selection activeCell="N5" sqref="N5"/>
    </sheetView>
  </sheetViews>
  <sheetFormatPr baseColWidth="10" defaultRowHeight="15" x14ac:dyDescent="0.25"/>
  <cols>
    <col min="8" max="8" width="13.42578125" customWidth="1"/>
  </cols>
  <sheetData>
    <row r="1" spans="3:24" x14ac:dyDescent="0.25">
      <c r="L1" t="s">
        <v>6</v>
      </c>
      <c r="M1">
        <v>5.0249100000000002</v>
      </c>
    </row>
    <row r="2" spans="3:24" x14ac:dyDescent="0.25">
      <c r="L2" t="s">
        <v>7</v>
      </c>
      <c r="M2">
        <v>4.2649999999999997E-3</v>
      </c>
      <c r="R2">
        <f>R6+R7</f>
        <v>0.1026348904520807</v>
      </c>
      <c r="S2">
        <f>SQRT(S6^2+S7^2)</f>
        <v>4.0845829149463199E-3</v>
      </c>
    </row>
    <row r="4" spans="3:24" x14ac:dyDescent="0.25">
      <c r="C4" t="s">
        <v>0</v>
      </c>
      <c r="D4" t="s">
        <v>1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</row>
    <row r="5" spans="3:24" x14ac:dyDescent="0.25">
      <c r="C5">
        <v>1</v>
      </c>
      <c r="D5" t="s">
        <v>2</v>
      </c>
      <c r="E5">
        <v>661.66</v>
      </c>
      <c r="F5">
        <v>32170.2</v>
      </c>
      <c r="G5">
        <v>795.601</v>
      </c>
      <c r="H5">
        <v>3316.94</v>
      </c>
      <c r="I5">
        <v>7.0147200000000007E-2</v>
      </c>
      <c r="J5">
        <v>4.2125300000000001</v>
      </c>
      <c r="K5">
        <v>6.3700999999999994E-2</v>
      </c>
      <c r="L5">
        <f>J5/1.1775</f>
        <v>3.5775201698513803</v>
      </c>
      <c r="M5">
        <f>K5/1.1775</f>
        <v>5.4098513800424623E-2</v>
      </c>
      <c r="N5">
        <f>2*J5/M$1</f>
        <v>1.676658885432774</v>
      </c>
      <c r="O5">
        <f>N5*SQRT((K5/J5)^2+(M$2/M$1)^2)</f>
        <v>2.5393993149323165E-2</v>
      </c>
      <c r="P5">
        <f>SQRT(2*PI())*F5*L5</f>
        <v>288486.69349446963</v>
      </c>
      <c r="Q5">
        <f>P5*SQRT((M5/L5)^2+(G5/F5)^2)</f>
        <v>8362.5848974648979</v>
      </c>
      <c r="R5">
        <f>P5/1762931</f>
        <v>0.16364037701672365</v>
      </c>
      <c r="S5">
        <f>R5*SQRT((Q5/P5)^2+1/1762931)</f>
        <v>4.7451698323901104E-3</v>
      </c>
    </row>
    <row r="6" spans="3:24" x14ac:dyDescent="0.25">
      <c r="C6">
        <v>2</v>
      </c>
      <c r="D6" t="s">
        <v>3</v>
      </c>
      <c r="E6">
        <v>1173.2</v>
      </c>
      <c r="F6">
        <v>1595.51</v>
      </c>
      <c r="G6">
        <v>77.070599999999999</v>
      </c>
      <c r="H6">
        <v>5899.82</v>
      </c>
      <c r="I6">
        <v>0.16979</v>
      </c>
      <c r="J6">
        <v>5.18011</v>
      </c>
      <c r="K6">
        <v>0.15427299999999999</v>
      </c>
      <c r="L6">
        <f t="shared" ref="L6:M15" si="0">J6/1.1775</f>
        <v>4.3992441613588111</v>
      </c>
      <c r="M6">
        <f t="shared" si="0"/>
        <v>0.13101740976645435</v>
      </c>
      <c r="N6">
        <f t="shared" ref="N6:N15" si="1">2*J6/M$1</f>
        <v>2.0617722506472753</v>
      </c>
      <c r="O6">
        <f t="shared" ref="O6:O15" si="2">N6*SQRT((K6/J6)^2+(M$2/M$1)^2)</f>
        <v>6.1428220583726101E-2</v>
      </c>
      <c r="P6">
        <f t="shared" ref="P6:P15" si="3">SQRT(2*PI())*F6*L6</f>
        <v>17594.119241577355</v>
      </c>
      <c r="Q6">
        <f t="shared" ref="Q6:Q15" si="4">P6*SQRT((M6/L6)^2+(G6/F6)^2)</f>
        <v>998.425221742948</v>
      </c>
      <c r="R6">
        <f>P6/304614</f>
        <v>5.7758734797407063E-2</v>
      </c>
      <c r="S6">
        <f>R6*SQRT((Q6/P6)^2+1/304614)</f>
        <v>3.2793436958329599E-3</v>
      </c>
    </row>
    <row r="7" spans="3:24" x14ac:dyDescent="0.25">
      <c r="C7">
        <v>3</v>
      </c>
      <c r="D7" t="s">
        <v>3</v>
      </c>
      <c r="E7">
        <v>1332.5</v>
      </c>
      <c r="F7">
        <v>1427</v>
      </c>
      <c r="G7">
        <v>62.767000000000003</v>
      </c>
      <c r="H7">
        <v>6704</v>
      </c>
      <c r="I7">
        <v>0.15078900000000001</v>
      </c>
      <c r="J7">
        <v>4.5</v>
      </c>
      <c r="K7">
        <v>0.142761</v>
      </c>
      <c r="L7">
        <f t="shared" si="0"/>
        <v>3.8216560509554141</v>
      </c>
      <c r="M7">
        <f t="shared" si="0"/>
        <v>0.12124076433121019</v>
      </c>
      <c r="N7">
        <f t="shared" si="1"/>
        <v>1.7910768551078526</v>
      </c>
      <c r="O7">
        <f t="shared" si="2"/>
        <v>5.6841648711010349E-2</v>
      </c>
      <c r="P7">
        <f t="shared" si="3"/>
        <v>13669.905278592754</v>
      </c>
      <c r="Q7">
        <f t="shared" si="4"/>
        <v>741.35258486036025</v>
      </c>
      <c r="R7">
        <f>P7/304614</f>
        <v>4.4876155654673636E-2</v>
      </c>
      <c r="S7">
        <f>R7*SQRT((Q7/P7)^2+1/304614)</f>
        <v>2.4351021567219724E-3</v>
      </c>
    </row>
    <row r="8" spans="3:24" x14ac:dyDescent="0.25">
      <c r="C8">
        <v>4</v>
      </c>
      <c r="D8" t="s">
        <v>4</v>
      </c>
      <c r="E8">
        <v>121.78</v>
      </c>
      <c r="F8">
        <v>56415.199999999997</v>
      </c>
      <c r="G8">
        <v>11931.5</v>
      </c>
      <c r="H8">
        <v>591.79100000000005</v>
      </c>
      <c r="I8">
        <v>0.57058699999999996</v>
      </c>
      <c r="J8">
        <v>3.9303699999999999</v>
      </c>
      <c r="K8">
        <v>0.56730400000000003</v>
      </c>
      <c r="L8">
        <f t="shared" si="0"/>
        <v>3.3378938428874734</v>
      </c>
      <c r="M8">
        <f t="shared" si="0"/>
        <v>0.48178683651804671</v>
      </c>
      <c r="N8">
        <f t="shared" si="1"/>
        <v>1.5643543864467224</v>
      </c>
      <c r="O8">
        <f t="shared" si="2"/>
        <v>0.22580058485172347</v>
      </c>
      <c r="P8">
        <f t="shared" si="3"/>
        <v>472018.02861251484</v>
      </c>
      <c r="Q8">
        <f t="shared" si="4"/>
        <v>120861.97766871299</v>
      </c>
      <c r="T8">
        <f>F8/F$15*1000</f>
        <v>15435.075239398086</v>
      </c>
      <c r="U8">
        <f>T8*SQRT((G8/F8)^2+(G$15/F$15)^2)</f>
        <v>10490.988673365249</v>
      </c>
      <c r="V8">
        <v>1362</v>
      </c>
      <c r="W8">
        <f>T8/V8</f>
        <v>11.332654360791546</v>
      </c>
      <c r="X8">
        <f>U8/V8</f>
        <v>7.7026348556279363</v>
      </c>
    </row>
    <row r="9" spans="3:24" x14ac:dyDescent="0.25">
      <c r="C9">
        <v>5</v>
      </c>
      <c r="D9" t="s">
        <v>4</v>
      </c>
      <c r="E9">
        <v>244.69890000000001</v>
      </c>
      <c r="F9">
        <v>10943.6</v>
      </c>
      <c r="G9">
        <v>5376.39</v>
      </c>
      <c r="H9">
        <v>1212.8699999999999</v>
      </c>
      <c r="I9">
        <v>1.4555499999999999</v>
      </c>
      <c r="J9">
        <v>4.05715</v>
      </c>
      <c r="K9">
        <v>1.4877100000000001</v>
      </c>
      <c r="L9">
        <f t="shared" si="0"/>
        <v>3.4455626326963906</v>
      </c>
      <c r="M9">
        <f t="shared" si="0"/>
        <v>1.2634479830148622</v>
      </c>
      <c r="N9">
        <f t="shared" si="1"/>
        <v>1.6148149917112942</v>
      </c>
      <c r="O9">
        <f t="shared" si="2"/>
        <v>0.59213557473711731</v>
      </c>
      <c r="P9">
        <f t="shared" si="3"/>
        <v>94517.079486370742</v>
      </c>
      <c r="Q9">
        <f t="shared" si="4"/>
        <v>57942.753599573625</v>
      </c>
      <c r="T9">
        <f t="shared" ref="T9:T15" si="5">F9/F$15*1000</f>
        <v>2994.1450068399454</v>
      </c>
      <c r="U9">
        <f t="shared" ref="U9:U15" si="6">T9*SQRT((G9/F9)^2+(G$15/F$15)^2)</f>
        <v>2429.872628038127</v>
      </c>
      <c r="V9">
        <v>359</v>
      </c>
      <c r="W9">
        <f t="shared" ref="W9:W15" si="7">T9/V9</f>
        <v>8.3402367878550017</v>
      </c>
      <c r="X9">
        <f t="shared" ref="X9:X15" si="8">U9/V9</f>
        <v>6.7684474318610777</v>
      </c>
    </row>
    <row r="10" spans="3:24" x14ac:dyDescent="0.25">
      <c r="C10">
        <v>6</v>
      </c>
      <c r="D10" t="s">
        <v>4</v>
      </c>
      <c r="E10">
        <v>344.28100000000001</v>
      </c>
      <c r="F10">
        <v>25548.5</v>
      </c>
      <c r="G10">
        <v>7566.83</v>
      </c>
      <c r="H10">
        <v>1715.21</v>
      </c>
      <c r="I10">
        <v>0.89712700000000001</v>
      </c>
      <c r="J10">
        <v>4.3483499999999999</v>
      </c>
      <c r="K10">
        <v>0.87396200000000002</v>
      </c>
      <c r="L10">
        <f t="shared" si="0"/>
        <v>3.6928662420382166</v>
      </c>
      <c r="M10">
        <f t="shared" si="0"/>
        <v>0.74221825902335459</v>
      </c>
      <c r="N10">
        <f t="shared" si="1"/>
        <v>1.7307175650907178</v>
      </c>
      <c r="O10">
        <f t="shared" si="2"/>
        <v>0.34785490407739228</v>
      </c>
      <c r="P10">
        <f t="shared" si="3"/>
        <v>236493.34206887573</v>
      </c>
      <c r="Q10">
        <f t="shared" si="4"/>
        <v>84648.592568408319</v>
      </c>
      <c r="T10">
        <f t="shared" si="5"/>
        <v>6990.0136798905614</v>
      </c>
      <c r="U10">
        <f t="shared" si="6"/>
        <v>4967.1485332167686</v>
      </c>
      <c r="V10">
        <v>1275</v>
      </c>
      <c r="W10">
        <f t="shared" si="7"/>
        <v>5.4823636705024015</v>
      </c>
      <c r="X10">
        <f t="shared" si="8"/>
        <v>3.8958027711504069</v>
      </c>
    </row>
    <row r="11" spans="3:24" x14ac:dyDescent="0.25">
      <c r="C11">
        <v>7</v>
      </c>
      <c r="D11" t="s">
        <v>4</v>
      </c>
      <c r="E11">
        <v>778.90300000000002</v>
      </c>
      <c r="F11">
        <v>4691.49</v>
      </c>
      <c r="G11">
        <v>3071.81</v>
      </c>
      <c r="H11">
        <v>3908</v>
      </c>
      <c r="I11">
        <v>2.43005</v>
      </c>
      <c r="J11">
        <v>5</v>
      </c>
      <c r="K11">
        <v>2.4388399999999999</v>
      </c>
      <c r="L11">
        <f t="shared" si="0"/>
        <v>4.2462845010615711</v>
      </c>
      <c r="M11">
        <f t="shared" si="0"/>
        <v>2.0712016985138004</v>
      </c>
      <c r="N11">
        <f t="shared" si="1"/>
        <v>1.9900853945642807</v>
      </c>
      <c r="O11">
        <f t="shared" si="2"/>
        <v>0.97070144237114253</v>
      </c>
      <c r="P11">
        <f t="shared" si="3"/>
        <v>49935.547703391043</v>
      </c>
      <c r="Q11">
        <f t="shared" si="4"/>
        <v>40771.115522259213</v>
      </c>
      <c r="T11">
        <f t="shared" si="5"/>
        <v>1283.5813953488371</v>
      </c>
      <c r="U11">
        <f t="shared" si="6"/>
        <v>1180.5845662604759</v>
      </c>
      <c r="V11">
        <v>621.6</v>
      </c>
      <c r="W11">
        <f t="shared" si="7"/>
        <v>2.0649636347310762</v>
      </c>
      <c r="X11">
        <f t="shared" si="8"/>
        <v>1.8992673202388608</v>
      </c>
    </row>
    <row r="12" spans="3:24" x14ac:dyDescent="0.25">
      <c r="C12">
        <v>8</v>
      </c>
      <c r="D12" t="s">
        <v>4</v>
      </c>
      <c r="E12">
        <v>964.13099999999997</v>
      </c>
      <c r="F12">
        <v>4056</v>
      </c>
      <c r="G12">
        <v>2667.21</v>
      </c>
      <c r="H12">
        <v>4843</v>
      </c>
      <c r="I12">
        <v>2.6444899999999998</v>
      </c>
      <c r="J12">
        <v>5.5</v>
      </c>
      <c r="K12">
        <v>2.63381</v>
      </c>
      <c r="L12">
        <f t="shared" si="0"/>
        <v>4.6709129511677281</v>
      </c>
      <c r="M12">
        <f t="shared" si="0"/>
        <v>2.2367813163481953</v>
      </c>
      <c r="N12">
        <f t="shared" si="1"/>
        <v>2.189093934020709</v>
      </c>
      <c r="O12">
        <f t="shared" si="2"/>
        <v>1.0483030092330534</v>
      </c>
      <c r="P12">
        <f t="shared" si="3"/>
        <v>47488.631465365899</v>
      </c>
      <c r="Q12">
        <f t="shared" si="4"/>
        <v>38631.163466572019</v>
      </c>
      <c r="T12">
        <f t="shared" si="5"/>
        <v>1109.7127222982217</v>
      </c>
      <c r="U12">
        <f t="shared" si="6"/>
        <v>1022.9086479362213</v>
      </c>
      <c r="V12">
        <v>693.4</v>
      </c>
      <c r="W12">
        <f t="shared" si="7"/>
        <v>1.6003933116501612</v>
      </c>
      <c r="X12">
        <f t="shared" si="8"/>
        <v>1.4752071646037228</v>
      </c>
    </row>
    <row r="13" spans="3:24" x14ac:dyDescent="0.25">
      <c r="C13">
        <v>9</v>
      </c>
      <c r="D13" t="s">
        <v>4</v>
      </c>
      <c r="E13">
        <v>1085.914</v>
      </c>
      <c r="F13">
        <v>2527</v>
      </c>
      <c r="G13">
        <v>2132.85</v>
      </c>
      <c r="H13">
        <v>5458</v>
      </c>
      <c r="I13">
        <v>3.49824</v>
      </c>
      <c r="J13">
        <v>5.5</v>
      </c>
      <c r="K13">
        <v>3.5707900000000001</v>
      </c>
      <c r="L13">
        <f t="shared" si="0"/>
        <v>4.6709129511677281</v>
      </c>
      <c r="M13">
        <f t="shared" si="0"/>
        <v>3.0325180467091295</v>
      </c>
      <c r="N13">
        <f t="shared" si="1"/>
        <v>2.189093934020709</v>
      </c>
      <c r="O13">
        <f t="shared" si="2"/>
        <v>1.4212366197575839</v>
      </c>
      <c r="P13">
        <f t="shared" si="3"/>
        <v>29586.728726079793</v>
      </c>
      <c r="Q13">
        <f t="shared" si="4"/>
        <v>31505.11394975369</v>
      </c>
      <c r="T13">
        <f t="shared" si="5"/>
        <v>691.38166894664846</v>
      </c>
      <c r="U13">
        <f t="shared" si="6"/>
        <v>734.82494485743462</v>
      </c>
      <c r="V13">
        <v>475</v>
      </c>
      <c r="W13">
        <f t="shared" si="7"/>
        <v>1.4555403556771547</v>
      </c>
      <c r="X13">
        <f t="shared" si="8"/>
        <v>1.5469998839103887</v>
      </c>
    </row>
    <row r="14" spans="3:24" x14ac:dyDescent="0.25">
      <c r="C14">
        <v>10</v>
      </c>
      <c r="D14" t="s">
        <v>4</v>
      </c>
      <c r="E14">
        <v>1112.116</v>
      </c>
      <c r="F14">
        <v>3121</v>
      </c>
      <c r="G14">
        <v>2389.41</v>
      </c>
      <c r="H14">
        <v>5590</v>
      </c>
      <c r="I14">
        <v>3.1594199999999999</v>
      </c>
      <c r="J14">
        <v>5.5</v>
      </c>
      <c r="K14">
        <v>3.1547200000000002</v>
      </c>
      <c r="L14">
        <f t="shared" si="0"/>
        <v>4.6709129511677281</v>
      </c>
      <c r="M14">
        <f t="shared" si="0"/>
        <v>2.6791677282377919</v>
      </c>
      <c r="N14">
        <f t="shared" si="1"/>
        <v>2.189093934020709</v>
      </c>
      <c r="O14">
        <f t="shared" si="2"/>
        <v>1.2556338139183463</v>
      </c>
      <c r="P14">
        <f t="shared" si="3"/>
        <v>36541.424754291664</v>
      </c>
      <c r="Q14">
        <f t="shared" si="4"/>
        <v>34956.415669250724</v>
      </c>
      <c r="T14">
        <f t="shared" si="5"/>
        <v>853.89876880984946</v>
      </c>
      <c r="U14">
        <f t="shared" si="6"/>
        <v>855.3370557468379</v>
      </c>
      <c r="V14">
        <v>649</v>
      </c>
      <c r="W14">
        <f t="shared" si="7"/>
        <v>1.3157145898456848</v>
      </c>
      <c r="X14">
        <f t="shared" si="8"/>
        <v>1.3179307484542957</v>
      </c>
    </row>
    <row r="15" spans="3:24" x14ac:dyDescent="0.25">
      <c r="C15">
        <v>11</v>
      </c>
      <c r="D15" t="s">
        <v>4</v>
      </c>
      <c r="E15">
        <v>1408.011</v>
      </c>
      <c r="F15">
        <v>3655</v>
      </c>
      <c r="G15">
        <v>2360.92</v>
      </c>
      <c r="H15">
        <v>7084</v>
      </c>
      <c r="I15">
        <v>2.8208199999999999</v>
      </c>
      <c r="J15">
        <v>6</v>
      </c>
      <c r="K15">
        <v>2.7254100000000001</v>
      </c>
      <c r="L15">
        <f t="shared" si="0"/>
        <v>5.0955414012738851</v>
      </c>
      <c r="M15">
        <f t="shared" si="0"/>
        <v>2.3145732484076436</v>
      </c>
      <c r="N15">
        <f t="shared" si="1"/>
        <v>2.388102473477137</v>
      </c>
      <c r="O15">
        <f t="shared" si="2"/>
        <v>1.0847616207935453</v>
      </c>
      <c r="P15">
        <f t="shared" si="3"/>
        <v>46683.955891853788</v>
      </c>
      <c r="Q15">
        <f t="shared" si="4"/>
        <v>36864.697668122943</v>
      </c>
      <c r="T15">
        <f t="shared" si="5"/>
        <v>1000</v>
      </c>
      <c r="U15">
        <f t="shared" si="6"/>
        <v>913.50070688861501</v>
      </c>
      <c r="V15">
        <v>1000</v>
      </c>
      <c r="W15">
        <f t="shared" si="7"/>
        <v>1</v>
      </c>
      <c r="X15">
        <f t="shared" si="8"/>
        <v>0.91350070688861507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1"/>
  <sheetViews>
    <sheetView workbookViewId="0">
      <selection activeCell="I7" sqref="I7"/>
    </sheetView>
  </sheetViews>
  <sheetFormatPr baseColWidth="10" defaultRowHeight="15" x14ac:dyDescent="0.25"/>
  <cols>
    <col min="5" max="5" width="13.42578125" customWidth="1"/>
  </cols>
  <sheetData>
    <row r="4" spans="2:15" x14ac:dyDescent="0.25">
      <c r="B4" t="s">
        <v>0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27</v>
      </c>
      <c r="L4" t="s">
        <v>28</v>
      </c>
      <c r="M4" t="s">
        <v>25</v>
      </c>
      <c r="N4" t="s">
        <v>26</v>
      </c>
    </row>
    <row r="5" spans="2:15" x14ac:dyDescent="0.25">
      <c r="B5">
        <v>1</v>
      </c>
      <c r="C5">
        <v>4564.2299999999996</v>
      </c>
      <c r="D5">
        <v>4155.3</v>
      </c>
      <c r="E5">
        <v>356.66500000000002</v>
      </c>
      <c r="F5">
        <v>1.7427999999999999</v>
      </c>
      <c r="G5">
        <v>1.9429099999999999</v>
      </c>
      <c r="H5">
        <v>2.0097499999999999</v>
      </c>
      <c r="I5">
        <f>G5/1.1775</f>
        <v>1.6500297239915074</v>
      </c>
      <c r="J5">
        <f>H5/1.1775</f>
        <v>1.7067940552016985</v>
      </c>
      <c r="K5">
        <v>5.0249100000000002</v>
      </c>
      <c r="L5">
        <v>4.2649999999999997E-3</v>
      </c>
      <c r="M5">
        <f>E5/K5</f>
        <v>70.979380725226918</v>
      </c>
      <c r="N5">
        <f>M5*SQRT((I5/E5)^2+(L5/K5)^2)</f>
        <v>0.33385079452222921</v>
      </c>
      <c r="O5" t="s">
        <v>29</v>
      </c>
    </row>
    <row r="6" spans="2:15" x14ac:dyDescent="0.25">
      <c r="B6">
        <v>2</v>
      </c>
      <c r="C6">
        <v>8227.44</v>
      </c>
      <c r="D6">
        <v>3455.68</v>
      </c>
      <c r="E6">
        <v>1184.01</v>
      </c>
      <c r="F6">
        <v>1.0016099999999999</v>
      </c>
      <c r="G6">
        <v>2.4234300000000002</v>
      </c>
      <c r="H6">
        <v>1.1081300000000001</v>
      </c>
      <c r="I6">
        <f>G6/1.1775</f>
        <v>2.0581146496815288</v>
      </c>
      <c r="J6">
        <f>H6/1.1775</f>
        <v>0.94108704883227179</v>
      </c>
      <c r="K6">
        <v>5.0249100000000002</v>
      </c>
      <c r="L6">
        <v>4.2649999999999997E-3</v>
      </c>
      <c r="M6">
        <f>E6/K6</f>
        <v>235.6281008018054</v>
      </c>
      <c r="N6">
        <f>M6*SQRT((I6/E6)^2+(L6/K6)^2)</f>
        <v>0.45580203352935861</v>
      </c>
      <c r="O6" t="s">
        <v>30</v>
      </c>
    </row>
    <row r="7" spans="2:15" x14ac:dyDescent="0.25">
      <c r="B7">
        <v>3</v>
      </c>
      <c r="C7">
        <v>6142.21</v>
      </c>
      <c r="D7">
        <v>2661.42</v>
      </c>
      <c r="E7">
        <v>1755.44</v>
      </c>
      <c r="F7">
        <v>1.20123</v>
      </c>
      <c r="G7">
        <v>2.8330799999999998</v>
      </c>
      <c r="H7">
        <v>1.30704</v>
      </c>
      <c r="I7">
        <f>G7/1.1775</f>
        <v>2.4060127388535029</v>
      </c>
      <c r="J7">
        <f>H7/1.1775</f>
        <v>1.1100127388535033</v>
      </c>
      <c r="K7">
        <v>5.0249100000000002</v>
      </c>
      <c r="L7">
        <v>4.2649999999999997E-3</v>
      </c>
      <c r="M7">
        <f>E7/K7</f>
        <v>349.34755050339209</v>
      </c>
      <c r="N7">
        <f>M7*SQRT((I7/E7)^2+(L7/K7)^2)</f>
        <v>0.56319416185269555</v>
      </c>
      <c r="O7" t="s">
        <v>31</v>
      </c>
    </row>
    <row r="8" spans="2:15" x14ac:dyDescent="0.25">
      <c r="B8">
        <v>4</v>
      </c>
      <c r="C8">
        <v>4554.8100000000004</v>
      </c>
      <c r="D8">
        <v>2047.74</v>
      </c>
      <c r="E8">
        <v>2922.5</v>
      </c>
      <c r="F8">
        <v>1.52372</v>
      </c>
      <c r="G8">
        <v>3.5</v>
      </c>
      <c r="H8">
        <v>1.6348800000000001</v>
      </c>
      <c r="I8">
        <f>G8/1.1775</f>
        <v>2.9723991507431</v>
      </c>
      <c r="J8">
        <f>H8/1.1775</f>
        <v>1.3884331210191083</v>
      </c>
      <c r="K8">
        <v>5.0249100000000002</v>
      </c>
      <c r="L8">
        <v>4.2649999999999997E-3</v>
      </c>
      <c r="M8">
        <f>E8/K8</f>
        <v>581.60245656141103</v>
      </c>
      <c r="N8">
        <f>M8*SQRT((I8/E8)^2+(L8/K8)^2)</f>
        <v>0.77045374081783613</v>
      </c>
      <c r="O8" t="s">
        <v>30</v>
      </c>
    </row>
    <row r="9" spans="2:15" x14ac:dyDescent="0.25">
      <c r="B9">
        <v>5</v>
      </c>
      <c r="C9">
        <v>6257.66</v>
      </c>
      <c r="D9">
        <v>2251.42</v>
      </c>
      <c r="E9">
        <v>3053.85</v>
      </c>
      <c r="F9">
        <v>1.17269</v>
      </c>
      <c r="G9">
        <v>3.4003700000000001</v>
      </c>
      <c r="H9">
        <v>1.22176</v>
      </c>
      <c r="I9">
        <f>G9/1.1775</f>
        <v>2.8877876857749469</v>
      </c>
      <c r="J9">
        <f>H9/1.1775</f>
        <v>1.037588110403397</v>
      </c>
      <c r="K9">
        <v>5.0249100000000002</v>
      </c>
      <c r="L9">
        <v>4.2649999999999997E-3</v>
      </c>
      <c r="M9">
        <f>E9/K9</f>
        <v>607.74222821901287</v>
      </c>
      <c r="N9">
        <f>M9*SQRT((I9/E9)^2+(L9/K9)^2)</f>
        <v>0.77224259266754691</v>
      </c>
      <c r="O9" t="s">
        <v>32</v>
      </c>
    </row>
    <row r="10" spans="2:15" x14ac:dyDescent="0.25">
      <c r="B10">
        <v>6</v>
      </c>
      <c r="C10">
        <v>1676.55</v>
      </c>
      <c r="D10">
        <v>287.02</v>
      </c>
      <c r="E10">
        <v>3317.68</v>
      </c>
      <c r="F10">
        <v>0.75101799999999996</v>
      </c>
      <c r="G10">
        <v>4.4787699999999999</v>
      </c>
      <c r="H10">
        <v>0.84828300000000001</v>
      </c>
      <c r="I10">
        <f>G10/1.1775</f>
        <v>3.8036263269639066</v>
      </c>
      <c r="J10">
        <f>H10/1.1775</f>
        <v>0.72041019108280258</v>
      </c>
      <c r="K10">
        <v>5.0249100000000002</v>
      </c>
      <c r="L10">
        <v>4.2649999999999997E-3</v>
      </c>
      <c r="M10">
        <f>E10/K10</f>
        <v>660.24665118380221</v>
      </c>
      <c r="N10">
        <f>M10*SQRT((I10/E10)^2+(L10/K10)^2)</f>
        <v>0.94182058020762072</v>
      </c>
      <c r="O10" t="s">
        <v>33</v>
      </c>
    </row>
    <row r="11" spans="2:15" x14ac:dyDescent="0.25">
      <c r="B11">
        <v>7</v>
      </c>
      <c r="C11">
        <v>19091.599999999999</v>
      </c>
      <c r="D11">
        <v>3229.89</v>
      </c>
      <c r="E11">
        <v>7351.51</v>
      </c>
      <c r="F11">
        <v>0.81850100000000003</v>
      </c>
      <c r="G11">
        <v>5.6313300000000002</v>
      </c>
      <c r="H11">
        <v>0.730993</v>
      </c>
      <c r="I11">
        <f>G11/1.1775</f>
        <v>4.7824458598726114</v>
      </c>
      <c r="J11">
        <f>H11/1.1775</f>
        <v>0.62080084925690027</v>
      </c>
      <c r="K11">
        <v>5.0249100000000002</v>
      </c>
      <c r="L11">
        <v>4.2649999999999997E-3</v>
      </c>
      <c r="M11">
        <f>E11/K11</f>
        <v>1463.0132678993255</v>
      </c>
      <c r="N11">
        <f>M11*SQRT((I11/E11)^2+(L11/K11)^2)</f>
        <v>1.5645449459317324</v>
      </c>
      <c r="O11" t="s">
        <v>34</v>
      </c>
    </row>
  </sheetData>
  <sortState ref="C5:N11">
    <sortCondition ref="E5:E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si_peaks</vt:lpstr>
      <vt:lpstr>ge_peaks</vt:lpstr>
      <vt:lpstr>erde_peaks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2018-05-31T12:09:51Z</dcterms:created>
  <dcterms:modified xsi:type="dcterms:W3CDTF">2018-06-08T23:15:56Z</dcterms:modified>
</cp:coreProperties>
</file>